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defaultThemeVersion="124226"/>
  <mc:AlternateContent xmlns:mc="http://schemas.openxmlformats.org/markup-compatibility/2006">
    <mc:Choice Requires="x15">
      <x15ac:absPath xmlns:x15ac="http://schemas.microsoft.com/office/spreadsheetml/2010/11/ac" url="C:\Users\USER\Dropbox\2025\calidad\riesgos\"/>
    </mc:Choice>
  </mc:AlternateContent>
  <xr:revisionPtr revIDLastSave="0" documentId="8_{9E891472-4766-4ADC-B930-9BE8720C40AF}" xr6:coauthVersionLast="47" xr6:coauthVersionMax="47" xr10:uidLastSave="{00000000-0000-0000-0000-000000000000}"/>
  <bookViews>
    <workbookView xWindow="-120" yWindow="-120" windowWidth="20730" windowHeight="11040" tabRatio="882" activeTab="1" xr2:uid="{00000000-000D-0000-FFFF-FFFF00000000}"/>
  </bookViews>
  <sheets>
    <sheet name="Intructivo" sheetId="20" r:id="rId1"/>
    <sheet name="Riesgos" sheetId="1" r:id="rId2"/>
    <sheet name="Matriz Calor Inherente" sheetId="18" r:id="rId3"/>
    <sheet name="Matriz Calor Residual" sheetId="19" r:id="rId4"/>
    <sheet name="Tabla probabilidad" sheetId="12" r:id="rId5"/>
    <sheet name="Tabla Impacto" sheetId="13" r:id="rId6"/>
    <sheet name="Tabla Valoración controles" sheetId="15" r:id="rId7"/>
    <sheet name="Tipologia" sheetId="21" r:id="rId8"/>
    <sheet name="Hoja3" sheetId="22" r:id="rId9"/>
    <sheet name="DATOS" sheetId="23" r:id="rId10"/>
    <sheet name="Hoja4" sheetId="24" r:id="rId11"/>
    <sheet name="Opciones Tratamiento" sheetId="16" state="hidden" r:id="rId12"/>
    <sheet name="Hoja1" sheetId="11" state="hidden" r:id="rId13"/>
  </sheets>
  <externalReferences>
    <externalReference r:id="rId14"/>
    <externalReference r:id="rId15"/>
    <externalReference r:id="rId16"/>
    <externalReference r:id="rId17"/>
  </externalReferences>
  <definedNames>
    <definedName name="_xlnm._FilterDatabase" localSheetId="1" hidden="1">Riesgos!$D$1:$D$154</definedName>
    <definedName name="CriterioControl">[1]CriteriosControles!$A$2:$A$15</definedName>
  </definedNames>
  <calcPr calcId="191029"/>
  <pivotCaches>
    <pivotCache cacheId="0" r:id="rId1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53" i="1" l="1"/>
  <c r="T154" i="1"/>
  <c r="AA154" i="1"/>
  <c r="AB154" i="1"/>
  <c r="AE154" i="1"/>
  <c r="AD154" i="1"/>
  <c r="AF154" i="1"/>
  <c r="AC154" i="1"/>
  <c r="W154" i="1"/>
  <c r="N154" i="1"/>
  <c r="T152" i="1"/>
  <c r="AA153" i="1"/>
  <c r="AB153" i="1"/>
  <c r="AE153" i="1"/>
  <c r="AD153" i="1"/>
  <c r="AF153" i="1"/>
  <c r="AC153" i="1"/>
  <c r="W153" i="1"/>
  <c r="N153" i="1"/>
  <c r="T151" i="1"/>
  <c r="AA152" i="1"/>
  <c r="AB152" i="1"/>
  <c r="AE152" i="1"/>
  <c r="AD152" i="1"/>
  <c r="AF152" i="1"/>
  <c r="AC152" i="1"/>
  <c r="W152" i="1"/>
  <c r="N152" i="1"/>
  <c r="T150" i="1"/>
  <c r="AA151" i="1"/>
  <c r="AB151" i="1"/>
  <c r="AE151" i="1"/>
  <c r="AD151" i="1"/>
  <c r="AF151" i="1"/>
  <c r="AC151" i="1"/>
  <c r="W151" i="1"/>
  <c r="N151" i="1"/>
  <c r="T149" i="1"/>
  <c r="AC149" i="1"/>
  <c r="W150" i="1"/>
  <c r="AA150" i="1"/>
  <c r="AB150" i="1"/>
  <c r="N149" i="1"/>
  <c r="O149" i="1"/>
  <c r="P149" i="1"/>
  <c r="AE149" i="1"/>
  <c r="AE150" i="1"/>
  <c r="AD150" i="1"/>
  <c r="AF150" i="1"/>
  <c r="AC150" i="1"/>
  <c r="N150" i="1"/>
  <c r="AB149" i="1"/>
  <c r="AD149" i="1"/>
  <c r="AF149" i="1"/>
  <c r="W149" i="1"/>
  <c r="K149" i="1"/>
  <c r="Q149" i="1"/>
  <c r="L149" i="1"/>
  <c r="T147" i="1"/>
  <c r="T148" i="1"/>
  <c r="AA148" i="1"/>
  <c r="AB148" i="1"/>
  <c r="AE148" i="1"/>
  <c r="AD148" i="1"/>
  <c r="AF148" i="1"/>
  <c r="AC148" i="1"/>
  <c r="W148" i="1"/>
  <c r="N148" i="1"/>
  <c r="T146" i="1"/>
  <c r="AA147" i="1"/>
  <c r="AB147" i="1"/>
  <c r="AE147" i="1"/>
  <c r="AD147" i="1"/>
  <c r="AF147" i="1"/>
  <c r="AC147" i="1"/>
  <c r="W147" i="1"/>
  <c r="N147" i="1"/>
  <c r="T145" i="1"/>
  <c r="AA146" i="1"/>
  <c r="AB146" i="1"/>
  <c r="AE146" i="1"/>
  <c r="AD146" i="1"/>
  <c r="AF146" i="1"/>
  <c r="AC146" i="1"/>
  <c r="W146" i="1"/>
  <c r="N146" i="1"/>
  <c r="T144" i="1"/>
  <c r="T143" i="1"/>
  <c r="K143" i="1"/>
  <c r="L143" i="1"/>
  <c r="W143" i="1"/>
  <c r="AA143" i="1"/>
  <c r="AC143" i="1"/>
  <c r="W144" i="1"/>
  <c r="AA144" i="1"/>
  <c r="AC144" i="1"/>
  <c r="W145" i="1"/>
  <c r="AA145" i="1"/>
  <c r="AB145" i="1"/>
  <c r="N143" i="1"/>
  <c r="O143" i="1"/>
  <c r="P143" i="1"/>
  <c r="AE143" i="1"/>
  <c r="AE144" i="1"/>
  <c r="AE145" i="1"/>
  <c r="AD145" i="1"/>
  <c r="AF145" i="1"/>
  <c r="AC145" i="1"/>
  <c r="N145" i="1"/>
  <c r="AB144" i="1"/>
  <c r="AD144" i="1"/>
  <c r="AF144" i="1"/>
  <c r="N144" i="1"/>
  <c r="AB143" i="1"/>
  <c r="AD143" i="1"/>
  <c r="AF143" i="1"/>
  <c r="Q143" i="1"/>
  <c r="T141" i="1"/>
  <c r="T142" i="1"/>
  <c r="AA142" i="1"/>
  <c r="AB142" i="1"/>
  <c r="AE142" i="1"/>
  <c r="AD142" i="1"/>
  <c r="AF142" i="1"/>
  <c r="AC142" i="1"/>
  <c r="W142" i="1"/>
  <c r="N142" i="1"/>
  <c r="T140" i="1"/>
  <c r="AA141" i="1"/>
  <c r="AB141" i="1"/>
  <c r="AE141" i="1"/>
  <c r="AD141" i="1"/>
  <c r="AF141" i="1"/>
  <c r="AC141" i="1"/>
  <c r="W141" i="1"/>
  <c r="N141" i="1"/>
  <c r="T139" i="1"/>
  <c r="AA140" i="1"/>
  <c r="AB140" i="1"/>
  <c r="AE140" i="1"/>
  <c r="AD140" i="1"/>
  <c r="AF140" i="1"/>
  <c r="AC140" i="1"/>
  <c r="W140" i="1"/>
  <c r="N140" i="1"/>
  <c r="T138" i="1"/>
  <c r="AA139" i="1"/>
  <c r="AB139" i="1"/>
  <c r="AE139" i="1"/>
  <c r="AD139" i="1"/>
  <c r="AF139" i="1"/>
  <c r="AC139" i="1"/>
  <c r="W139" i="1"/>
  <c r="N139" i="1"/>
  <c r="T137" i="1"/>
  <c r="K137" i="1"/>
  <c r="L137" i="1"/>
  <c r="W137" i="1"/>
  <c r="AA137" i="1"/>
  <c r="AC137" i="1"/>
  <c r="W138" i="1"/>
  <c r="AA138" i="1"/>
  <c r="AB138" i="1"/>
  <c r="N137" i="1"/>
  <c r="O137" i="1"/>
  <c r="P137" i="1"/>
  <c r="AE137" i="1"/>
  <c r="AE138" i="1"/>
  <c r="AD138" i="1"/>
  <c r="AF138" i="1"/>
  <c r="AC138" i="1"/>
  <c r="N138" i="1"/>
  <c r="AB137" i="1"/>
  <c r="AD137" i="1"/>
  <c r="AF137" i="1"/>
  <c r="Q137" i="1"/>
  <c r="T134" i="1"/>
  <c r="AA134" i="1"/>
  <c r="AB134" i="1"/>
  <c r="T133" i="1"/>
  <c r="AE134" i="1"/>
  <c r="AD134" i="1"/>
  <c r="AF134" i="1"/>
  <c r="AC134" i="1"/>
  <c r="W134" i="1"/>
  <c r="N134" i="1"/>
  <c r="AA133" i="1"/>
  <c r="AB133" i="1"/>
  <c r="T132" i="1"/>
  <c r="AE133" i="1"/>
  <c r="AD133" i="1"/>
  <c r="AF133" i="1"/>
  <c r="AC133" i="1"/>
  <c r="W133" i="1"/>
  <c r="N133" i="1"/>
  <c r="AA132" i="1"/>
  <c r="AB132" i="1"/>
  <c r="T131" i="1"/>
  <c r="AE132" i="1"/>
  <c r="AD132" i="1"/>
  <c r="AF132" i="1"/>
  <c r="AC132" i="1"/>
  <c r="W132" i="1"/>
  <c r="N132" i="1"/>
  <c r="AA131" i="1"/>
  <c r="AB131" i="1"/>
  <c r="T130" i="1"/>
  <c r="AE131" i="1"/>
  <c r="AD131" i="1"/>
  <c r="AF131" i="1"/>
  <c r="AC131" i="1"/>
  <c r="W131" i="1"/>
  <c r="N131" i="1"/>
  <c r="AA130" i="1"/>
  <c r="AB130" i="1"/>
  <c r="T129" i="1"/>
  <c r="AE130" i="1"/>
  <c r="AD130" i="1"/>
  <c r="AF130" i="1"/>
  <c r="AC130" i="1"/>
  <c r="W130" i="1"/>
  <c r="N130" i="1"/>
  <c r="K129" i="1"/>
  <c r="L129" i="1"/>
  <c r="W129" i="1"/>
  <c r="AA129" i="1"/>
  <c r="AB129" i="1"/>
  <c r="N129" i="1"/>
  <c r="O129" i="1"/>
  <c r="P129" i="1"/>
  <c r="AE129" i="1"/>
  <c r="AD129" i="1"/>
  <c r="AF129" i="1"/>
  <c r="AC129" i="1"/>
  <c r="Q129" i="1"/>
  <c r="T127" i="1"/>
  <c r="T128" i="1"/>
  <c r="AA128" i="1"/>
  <c r="AB128" i="1"/>
  <c r="AE128" i="1"/>
  <c r="AD128" i="1"/>
  <c r="AF128" i="1"/>
  <c r="AC128" i="1"/>
  <c r="W128" i="1"/>
  <c r="N128" i="1"/>
  <c r="T126" i="1"/>
  <c r="AA127" i="1"/>
  <c r="AB127" i="1"/>
  <c r="AE127" i="1"/>
  <c r="AD127" i="1"/>
  <c r="AF127" i="1"/>
  <c r="AC127" i="1"/>
  <c r="W127" i="1"/>
  <c r="N127" i="1"/>
  <c r="T125" i="1"/>
  <c r="AA126" i="1"/>
  <c r="AB126" i="1"/>
  <c r="AE126" i="1"/>
  <c r="AD126" i="1"/>
  <c r="AF126" i="1"/>
  <c r="AC126" i="1"/>
  <c r="W126" i="1"/>
  <c r="N126" i="1"/>
  <c r="T124" i="1"/>
  <c r="AA125" i="1"/>
  <c r="AB125" i="1"/>
  <c r="AE125" i="1"/>
  <c r="AD125" i="1"/>
  <c r="AF125" i="1"/>
  <c r="AC125" i="1"/>
  <c r="W125" i="1"/>
  <c r="N125" i="1"/>
  <c r="T123" i="1"/>
  <c r="AA124" i="1"/>
  <c r="AB124" i="1"/>
  <c r="AE124" i="1"/>
  <c r="AD124" i="1"/>
  <c r="AF124" i="1"/>
  <c r="AC124" i="1"/>
  <c r="W124" i="1"/>
  <c r="N124" i="1"/>
  <c r="K123" i="1"/>
  <c r="L123" i="1"/>
  <c r="W123" i="1"/>
  <c r="AA123" i="1"/>
  <c r="AB123" i="1"/>
  <c r="N123" i="1"/>
  <c r="O123" i="1"/>
  <c r="P123" i="1"/>
  <c r="AE123" i="1"/>
  <c r="AD123" i="1"/>
  <c r="AF123" i="1"/>
  <c r="AC123" i="1"/>
  <c r="Q123" i="1"/>
  <c r="T121" i="1"/>
  <c r="T122" i="1"/>
  <c r="AA122" i="1"/>
  <c r="AB122" i="1"/>
  <c r="AE122" i="1"/>
  <c r="AD122" i="1"/>
  <c r="AF122" i="1"/>
  <c r="AC122" i="1"/>
  <c r="W122" i="1"/>
  <c r="N122" i="1"/>
  <c r="T120" i="1"/>
  <c r="AA121" i="1"/>
  <c r="AB121" i="1"/>
  <c r="AE121" i="1"/>
  <c r="AD121" i="1"/>
  <c r="AF121" i="1"/>
  <c r="AC121" i="1"/>
  <c r="W121" i="1"/>
  <c r="N121" i="1"/>
  <c r="T119" i="1"/>
  <c r="AA120" i="1"/>
  <c r="AB120" i="1"/>
  <c r="AE120" i="1"/>
  <c r="AD120" i="1"/>
  <c r="AF120" i="1"/>
  <c r="AC120" i="1"/>
  <c r="W120" i="1"/>
  <c r="N120" i="1"/>
  <c r="T118" i="1"/>
  <c r="AA119" i="1"/>
  <c r="AB119" i="1"/>
  <c r="AE119" i="1"/>
  <c r="AD119" i="1"/>
  <c r="AF119" i="1"/>
  <c r="AC119" i="1"/>
  <c r="W119" i="1"/>
  <c r="N119" i="1"/>
  <c r="T117" i="1"/>
  <c r="AA118" i="1"/>
  <c r="AB118" i="1"/>
  <c r="AE118" i="1"/>
  <c r="AD118" i="1"/>
  <c r="AF118" i="1"/>
  <c r="AC118" i="1"/>
  <c r="W118" i="1"/>
  <c r="N118" i="1"/>
  <c r="K117" i="1"/>
  <c r="L117" i="1"/>
  <c r="W117" i="1"/>
  <c r="AA117" i="1"/>
  <c r="AB117" i="1"/>
  <c r="N117" i="1"/>
  <c r="O117" i="1"/>
  <c r="P117" i="1"/>
  <c r="AE117" i="1"/>
  <c r="AD117" i="1"/>
  <c r="AF117" i="1"/>
  <c r="AC117" i="1"/>
  <c r="Q117" i="1"/>
  <c r="T115" i="1"/>
  <c r="T116" i="1"/>
  <c r="AA116" i="1"/>
  <c r="AB116" i="1"/>
  <c r="AE116" i="1"/>
  <c r="AD116" i="1"/>
  <c r="AF116" i="1"/>
  <c r="AC116" i="1"/>
  <c r="W116" i="1"/>
  <c r="N116" i="1"/>
  <c r="T114" i="1"/>
  <c r="AA115" i="1"/>
  <c r="AB115" i="1"/>
  <c r="AE115" i="1"/>
  <c r="AD115" i="1"/>
  <c r="AF115" i="1"/>
  <c r="AC115" i="1"/>
  <c r="W115" i="1"/>
  <c r="N115" i="1"/>
  <c r="T113" i="1"/>
  <c r="AA114" i="1"/>
  <c r="AB114" i="1"/>
  <c r="AE114" i="1"/>
  <c r="AD114" i="1"/>
  <c r="AF114" i="1"/>
  <c r="AC114" i="1"/>
  <c r="W114" i="1"/>
  <c r="N114" i="1"/>
  <c r="T112" i="1"/>
  <c r="AA113" i="1"/>
  <c r="AB113" i="1"/>
  <c r="AE113" i="1"/>
  <c r="AD113" i="1"/>
  <c r="AF113" i="1"/>
  <c r="AC113" i="1"/>
  <c r="W113" i="1"/>
  <c r="N113" i="1"/>
  <c r="T111" i="1"/>
  <c r="AA112" i="1"/>
  <c r="AB112" i="1"/>
  <c r="AE112" i="1"/>
  <c r="AD112" i="1"/>
  <c r="AF112" i="1"/>
  <c r="AC112" i="1"/>
  <c r="W112" i="1"/>
  <c r="N112" i="1"/>
  <c r="K111" i="1"/>
  <c r="L111" i="1"/>
  <c r="W111" i="1"/>
  <c r="AA111" i="1"/>
  <c r="AB111" i="1"/>
  <c r="N111" i="1"/>
  <c r="O111" i="1"/>
  <c r="P111" i="1"/>
  <c r="AE111" i="1"/>
  <c r="AD111" i="1"/>
  <c r="AF111" i="1"/>
  <c r="AC111" i="1"/>
  <c r="Q111" i="1"/>
  <c r="T109" i="1"/>
  <c r="T110" i="1"/>
  <c r="AA110" i="1"/>
  <c r="AB110" i="1"/>
  <c r="AE110" i="1"/>
  <c r="AD110" i="1"/>
  <c r="AF110" i="1"/>
  <c r="AC110" i="1"/>
  <c r="W110" i="1"/>
  <c r="N110" i="1"/>
  <c r="T108" i="1"/>
  <c r="AA109" i="1"/>
  <c r="AB109" i="1"/>
  <c r="AE109" i="1"/>
  <c r="AD109" i="1"/>
  <c r="AF109" i="1"/>
  <c r="AC109" i="1"/>
  <c r="W109" i="1"/>
  <c r="N109" i="1"/>
  <c r="T107" i="1"/>
  <c r="AA108" i="1"/>
  <c r="AB108" i="1"/>
  <c r="AE108" i="1"/>
  <c r="AD108" i="1"/>
  <c r="AF108" i="1"/>
  <c r="AC108" i="1"/>
  <c r="W108" i="1"/>
  <c r="N108" i="1"/>
  <c r="T106" i="1"/>
  <c r="AA107" i="1"/>
  <c r="AB107" i="1"/>
  <c r="AE107" i="1"/>
  <c r="AD107" i="1"/>
  <c r="AF107" i="1"/>
  <c r="AC107" i="1"/>
  <c r="W107" i="1"/>
  <c r="N107" i="1"/>
  <c r="T105" i="1"/>
  <c r="K105" i="1"/>
  <c r="L105" i="1"/>
  <c r="W105" i="1"/>
  <c r="AA105" i="1"/>
  <c r="AC105" i="1"/>
  <c r="W106" i="1"/>
  <c r="AA106" i="1"/>
  <c r="AB106" i="1"/>
  <c r="N105" i="1"/>
  <c r="O105" i="1"/>
  <c r="P105" i="1"/>
  <c r="AE105" i="1"/>
  <c r="AE106" i="1"/>
  <c r="AD106" i="1"/>
  <c r="AF106" i="1"/>
  <c r="AC106" i="1"/>
  <c r="N106" i="1"/>
  <c r="AB105" i="1"/>
  <c r="AD105" i="1"/>
  <c r="AF105" i="1"/>
  <c r="Q105" i="1"/>
  <c r="T101" i="1"/>
  <c r="T102" i="1"/>
  <c r="AA102" i="1"/>
  <c r="AB102" i="1"/>
  <c r="AE102" i="1"/>
  <c r="AD102" i="1"/>
  <c r="AF102" i="1"/>
  <c r="AC102" i="1"/>
  <c r="W102" i="1"/>
  <c r="N102" i="1"/>
  <c r="T100" i="1"/>
  <c r="AA101" i="1"/>
  <c r="AB101" i="1"/>
  <c r="AE101" i="1"/>
  <c r="AD101" i="1"/>
  <c r="AF101" i="1"/>
  <c r="AC101" i="1"/>
  <c r="W101" i="1"/>
  <c r="N101" i="1"/>
  <c r="T99" i="1"/>
  <c r="AA100" i="1"/>
  <c r="AB100" i="1"/>
  <c r="AE100" i="1"/>
  <c r="AD100" i="1"/>
  <c r="AF100" i="1"/>
  <c r="AC100" i="1"/>
  <c r="W100" i="1"/>
  <c r="N100" i="1"/>
  <c r="T98" i="1"/>
  <c r="AA99" i="1"/>
  <c r="AB99" i="1"/>
  <c r="AE99" i="1"/>
  <c r="AD99" i="1"/>
  <c r="AF99" i="1"/>
  <c r="AC99" i="1"/>
  <c r="W99" i="1"/>
  <c r="N99" i="1"/>
  <c r="T97" i="1"/>
  <c r="K97" i="1"/>
  <c r="L97" i="1"/>
  <c r="W97" i="1"/>
  <c r="AA97" i="1"/>
  <c r="AC97" i="1"/>
  <c r="W98" i="1"/>
  <c r="AA98" i="1"/>
  <c r="AB98" i="1"/>
  <c r="N97" i="1"/>
  <c r="O97" i="1"/>
  <c r="P97" i="1"/>
  <c r="AE97" i="1"/>
  <c r="AE98" i="1"/>
  <c r="AD98" i="1"/>
  <c r="AF98" i="1"/>
  <c r="AC98" i="1"/>
  <c r="N98" i="1"/>
  <c r="AB97" i="1"/>
  <c r="AD97" i="1"/>
  <c r="AF97" i="1"/>
  <c r="Q97" i="1"/>
  <c r="T95" i="1"/>
  <c r="T96" i="1"/>
  <c r="AA96" i="1"/>
  <c r="AB96" i="1"/>
  <c r="AE96" i="1"/>
  <c r="AD96" i="1"/>
  <c r="AF96" i="1"/>
  <c r="AC96" i="1"/>
  <c r="W96" i="1"/>
  <c r="N96" i="1"/>
  <c r="T94" i="1"/>
  <c r="AA95" i="1"/>
  <c r="AB95" i="1"/>
  <c r="AE95" i="1"/>
  <c r="AD95" i="1"/>
  <c r="AF95" i="1"/>
  <c r="AC95" i="1"/>
  <c r="W95" i="1"/>
  <c r="N95" i="1"/>
  <c r="T93" i="1"/>
  <c r="AA94" i="1"/>
  <c r="AB94" i="1"/>
  <c r="AE94" i="1"/>
  <c r="AD94" i="1"/>
  <c r="AF94" i="1"/>
  <c r="AC94" i="1"/>
  <c r="W94" i="1"/>
  <c r="N94" i="1"/>
  <c r="T92" i="1"/>
  <c r="AA93" i="1"/>
  <c r="AB93" i="1"/>
  <c r="AE93" i="1"/>
  <c r="AD93" i="1"/>
  <c r="AF93" i="1"/>
  <c r="AC93" i="1"/>
  <c r="W93" i="1"/>
  <c r="N93" i="1"/>
  <c r="T91" i="1"/>
  <c r="K91" i="1"/>
  <c r="L91" i="1"/>
  <c r="W91" i="1"/>
  <c r="AA91" i="1"/>
  <c r="AC91" i="1"/>
  <c r="W92" i="1"/>
  <c r="AA92" i="1"/>
  <c r="AB92" i="1"/>
  <c r="N91" i="1"/>
  <c r="O91" i="1"/>
  <c r="P91" i="1"/>
  <c r="AE91" i="1"/>
  <c r="AE92" i="1"/>
  <c r="AD92" i="1"/>
  <c r="AF92" i="1"/>
  <c r="AC92" i="1"/>
  <c r="N92" i="1"/>
  <c r="AB91" i="1"/>
  <c r="AD91" i="1"/>
  <c r="AF91" i="1"/>
  <c r="Q91" i="1"/>
  <c r="T89" i="1"/>
  <c r="T90" i="1"/>
  <c r="AA90" i="1"/>
  <c r="AB90" i="1"/>
  <c r="AE90" i="1"/>
  <c r="AD90" i="1"/>
  <c r="AF90" i="1"/>
  <c r="AC90" i="1"/>
  <c r="W90" i="1"/>
  <c r="N90" i="1"/>
  <c r="T88" i="1"/>
  <c r="AA89" i="1"/>
  <c r="AB89" i="1"/>
  <c r="AE89" i="1"/>
  <c r="AD89" i="1"/>
  <c r="AF89" i="1"/>
  <c r="AC89" i="1"/>
  <c r="W89" i="1"/>
  <c r="N89" i="1"/>
  <c r="T87" i="1"/>
  <c r="AA88" i="1"/>
  <c r="AB88" i="1"/>
  <c r="AE88" i="1"/>
  <c r="AD88" i="1"/>
  <c r="AF88" i="1"/>
  <c r="AC88" i="1"/>
  <c r="W88" i="1"/>
  <c r="N88" i="1"/>
  <c r="T86" i="1"/>
  <c r="AA87" i="1"/>
  <c r="AB87" i="1"/>
  <c r="AE87" i="1"/>
  <c r="AD87" i="1"/>
  <c r="AF87" i="1"/>
  <c r="AC87" i="1"/>
  <c r="W87" i="1"/>
  <c r="N87" i="1"/>
  <c r="T85" i="1"/>
  <c r="K85" i="1"/>
  <c r="L85" i="1"/>
  <c r="W85" i="1"/>
  <c r="AA85" i="1"/>
  <c r="AC85" i="1"/>
  <c r="W86" i="1"/>
  <c r="AA86" i="1"/>
  <c r="AB86" i="1"/>
  <c r="N85" i="1"/>
  <c r="O85" i="1"/>
  <c r="P85" i="1"/>
  <c r="AE85" i="1"/>
  <c r="AE86" i="1"/>
  <c r="AD86" i="1"/>
  <c r="AF86" i="1"/>
  <c r="AC86" i="1"/>
  <c r="N86" i="1"/>
  <c r="AB85" i="1"/>
  <c r="AD85" i="1"/>
  <c r="AF85" i="1"/>
  <c r="Q85" i="1"/>
  <c r="T83" i="1"/>
  <c r="T84" i="1"/>
  <c r="AA84" i="1"/>
  <c r="AB84" i="1"/>
  <c r="AE84" i="1"/>
  <c r="AD84" i="1"/>
  <c r="AF84" i="1"/>
  <c r="AC84" i="1"/>
  <c r="W84" i="1"/>
  <c r="N84" i="1"/>
  <c r="T82" i="1"/>
  <c r="AA83" i="1"/>
  <c r="AB83" i="1"/>
  <c r="AE83" i="1"/>
  <c r="AD83" i="1"/>
  <c r="AF83" i="1"/>
  <c r="AC83" i="1"/>
  <c r="W83" i="1"/>
  <c r="N83" i="1"/>
  <c r="T81" i="1"/>
  <c r="AA82" i="1"/>
  <c r="AB82" i="1"/>
  <c r="AE82" i="1"/>
  <c r="AD82" i="1"/>
  <c r="AF82" i="1"/>
  <c r="AC82" i="1"/>
  <c r="W82" i="1"/>
  <c r="N82" i="1"/>
  <c r="T80" i="1"/>
  <c r="AA81" i="1"/>
  <c r="AB81" i="1"/>
  <c r="AE81" i="1"/>
  <c r="AD81" i="1"/>
  <c r="AF81" i="1"/>
  <c r="AC81" i="1"/>
  <c r="W81" i="1"/>
  <c r="N81" i="1"/>
  <c r="T79" i="1"/>
  <c r="K79" i="1"/>
  <c r="L79" i="1"/>
  <c r="W79" i="1"/>
  <c r="AA79" i="1"/>
  <c r="AC79" i="1"/>
  <c r="AA80" i="1"/>
  <c r="AB80" i="1"/>
  <c r="N79" i="1"/>
  <c r="O79" i="1"/>
  <c r="P79" i="1"/>
  <c r="W80" i="1"/>
  <c r="AE80" i="1"/>
  <c r="AD80" i="1"/>
  <c r="AF80" i="1"/>
  <c r="AC80" i="1"/>
  <c r="N80" i="1"/>
  <c r="AB79" i="1"/>
  <c r="AE79" i="1"/>
  <c r="AD79" i="1"/>
  <c r="AF79" i="1"/>
  <c r="Q79" i="1"/>
  <c r="T77" i="1"/>
  <c r="T78" i="1"/>
  <c r="AA78" i="1"/>
  <c r="AB78" i="1"/>
  <c r="AE78" i="1"/>
  <c r="AD78" i="1"/>
  <c r="AF78" i="1"/>
  <c r="AC78" i="1"/>
  <c r="W78" i="1"/>
  <c r="N78" i="1"/>
  <c r="T76" i="1"/>
  <c r="AA77" i="1"/>
  <c r="AB77" i="1"/>
  <c r="AE77" i="1"/>
  <c r="AD77" i="1"/>
  <c r="AF77" i="1"/>
  <c r="AC77" i="1"/>
  <c r="W77" i="1"/>
  <c r="N77" i="1"/>
  <c r="T75" i="1"/>
  <c r="AA76" i="1"/>
  <c r="AB76" i="1"/>
  <c r="AE76" i="1"/>
  <c r="AD76" i="1"/>
  <c r="AF76" i="1"/>
  <c r="AC76" i="1"/>
  <c r="W76" i="1"/>
  <c r="N76" i="1"/>
  <c r="T74" i="1"/>
  <c r="AA75" i="1"/>
  <c r="AB75" i="1"/>
  <c r="AE75" i="1"/>
  <c r="AD75" i="1"/>
  <c r="AF75" i="1"/>
  <c r="AC75" i="1"/>
  <c r="W75" i="1"/>
  <c r="N75" i="1"/>
  <c r="T73" i="1"/>
  <c r="K73" i="1"/>
  <c r="L73" i="1"/>
  <c r="W73" i="1"/>
  <c r="AA73" i="1"/>
  <c r="AC73" i="1"/>
  <c r="W74" i="1"/>
  <c r="AA74" i="1"/>
  <c r="AB74" i="1"/>
  <c r="N73" i="1"/>
  <c r="O73" i="1"/>
  <c r="P73" i="1"/>
  <c r="AE73" i="1"/>
  <c r="AE74" i="1"/>
  <c r="AD74" i="1"/>
  <c r="AF74" i="1"/>
  <c r="AC74" i="1"/>
  <c r="N74" i="1"/>
  <c r="AB73" i="1"/>
  <c r="AD73" i="1"/>
  <c r="AF73" i="1"/>
  <c r="Q73" i="1"/>
  <c r="T71" i="1"/>
  <c r="T72" i="1"/>
  <c r="AA72" i="1"/>
  <c r="AB72" i="1"/>
  <c r="AE72" i="1"/>
  <c r="AD72" i="1"/>
  <c r="AF72" i="1"/>
  <c r="AC72" i="1"/>
  <c r="W72" i="1"/>
  <c r="N72" i="1"/>
  <c r="T70" i="1"/>
  <c r="AA71" i="1"/>
  <c r="AB71" i="1"/>
  <c r="AE71" i="1"/>
  <c r="AD71" i="1"/>
  <c r="AF71" i="1"/>
  <c r="AC71" i="1"/>
  <c r="W71" i="1"/>
  <c r="N71" i="1"/>
  <c r="T69" i="1"/>
  <c r="AA70" i="1"/>
  <c r="AB70" i="1"/>
  <c r="AE70" i="1"/>
  <c r="AD70" i="1"/>
  <c r="AF70" i="1"/>
  <c r="AC70" i="1"/>
  <c r="W70" i="1"/>
  <c r="N70" i="1"/>
  <c r="T68" i="1"/>
  <c r="AA69" i="1"/>
  <c r="AB69" i="1"/>
  <c r="AE69" i="1"/>
  <c r="AD69" i="1"/>
  <c r="AF69" i="1"/>
  <c r="AC69" i="1"/>
  <c r="W69" i="1"/>
  <c r="N69" i="1"/>
  <c r="T67" i="1"/>
  <c r="K67" i="1"/>
  <c r="L67" i="1"/>
  <c r="W67" i="1"/>
  <c r="AA67" i="1"/>
  <c r="AC67" i="1"/>
  <c r="W68" i="1"/>
  <c r="AA68" i="1"/>
  <c r="AB68" i="1"/>
  <c r="N67" i="1"/>
  <c r="O67" i="1"/>
  <c r="P67" i="1"/>
  <c r="AE67" i="1"/>
  <c r="AE68" i="1"/>
  <c r="AD68" i="1"/>
  <c r="AF68" i="1"/>
  <c r="AC68" i="1"/>
  <c r="N68" i="1"/>
  <c r="AB67" i="1"/>
  <c r="AD67" i="1"/>
  <c r="AF67" i="1"/>
  <c r="Q67" i="1"/>
  <c r="T65" i="1"/>
  <c r="T66" i="1"/>
  <c r="AA66" i="1"/>
  <c r="AB66" i="1"/>
  <c r="AE66" i="1"/>
  <c r="AD66" i="1"/>
  <c r="AF66" i="1"/>
  <c r="AC66" i="1"/>
  <c r="W66" i="1"/>
  <c r="N66" i="1"/>
  <c r="AB65" i="1"/>
  <c r="T64" i="1"/>
  <c r="AE65" i="1"/>
  <c r="AD65" i="1"/>
  <c r="AF65" i="1"/>
  <c r="W65" i="1"/>
  <c r="N65" i="1"/>
  <c r="T63" i="1"/>
  <c r="AA64" i="1"/>
  <c r="AB64" i="1"/>
  <c r="AE64" i="1"/>
  <c r="AD64" i="1"/>
  <c r="AF64" i="1"/>
  <c r="AC64" i="1"/>
  <c r="W64" i="1"/>
  <c r="N64" i="1"/>
  <c r="T62" i="1"/>
  <c r="T61" i="1"/>
  <c r="K61" i="1"/>
  <c r="L61" i="1"/>
  <c r="W61" i="1"/>
  <c r="AA61" i="1"/>
  <c r="AC61" i="1"/>
  <c r="W62" i="1"/>
  <c r="AA62" i="1"/>
  <c r="AC62" i="1"/>
  <c r="W63" i="1"/>
  <c r="AA63" i="1"/>
  <c r="AB63" i="1"/>
  <c r="N61" i="1"/>
  <c r="O61" i="1"/>
  <c r="P61" i="1"/>
  <c r="AE61" i="1"/>
  <c r="AE62" i="1"/>
  <c r="AE63" i="1"/>
  <c r="AD63" i="1"/>
  <c r="AF63" i="1"/>
  <c r="AC63" i="1"/>
  <c r="N63" i="1"/>
  <c r="AB62" i="1"/>
  <c r="AD62" i="1"/>
  <c r="AF62" i="1"/>
  <c r="N62" i="1"/>
  <c r="AB61" i="1"/>
  <c r="AD61" i="1"/>
  <c r="AF61" i="1"/>
  <c r="Q61" i="1"/>
  <c r="T59" i="1"/>
  <c r="T60" i="1"/>
  <c r="AA60" i="1"/>
  <c r="AB60" i="1"/>
  <c r="AE60" i="1"/>
  <c r="AD60" i="1"/>
  <c r="AF60" i="1"/>
  <c r="AC60" i="1"/>
  <c r="W60" i="1"/>
  <c r="N60" i="1"/>
  <c r="T58" i="1"/>
  <c r="AA59" i="1"/>
  <c r="AB59" i="1"/>
  <c r="AE59" i="1"/>
  <c r="AD59" i="1"/>
  <c r="AF59" i="1"/>
  <c r="AC59" i="1"/>
  <c r="W59" i="1"/>
  <c r="N59" i="1"/>
  <c r="T57" i="1"/>
  <c r="AA58" i="1"/>
  <c r="AB58" i="1"/>
  <c r="AE58" i="1"/>
  <c r="AD58" i="1"/>
  <c r="AF58" i="1"/>
  <c r="AC58" i="1"/>
  <c r="W58" i="1"/>
  <c r="N58" i="1"/>
  <c r="T56" i="1"/>
  <c r="AA57" i="1"/>
  <c r="AB57" i="1"/>
  <c r="AE57" i="1"/>
  <c r="AD57" i="1"/>
  <c r="AF57" i="1"/>
  <c r="AC57" i="1"/>
  <c r="W57" i="1"/>
  <c r="N57" i="1"/>
  <c r="T55" i="1"/>
  <c r="K55" i="1"/>
  <c r="L55" i="1"/>
  <c r="W55" i="1"/>
  <c r="AA55" i="1"/>
  <c r="AC55" i="1"/>
  <c r="W56" i="1"/>
  <c r="AA56" i="1"/>
  <c r="AB56" i="1"/>
  <c r="N55" i="1"/>
  <c r="O55" i="1"/>
  <c r="P55" i="1"/>
  <c r="AE55" i="1"/>
  <c r="AE56" i="1"/>
  <c r="AD56" i="1"/>
  <c r="AF56" i="1"/>
  <c r="AC56" i="1"/>
  <c r="N56" i="1"/>
  <c r="AB55" i="1"/>
  <c r="AD55" i="1"/>
  <c r="AF55" i="1"/>
  <c r="Q55" i="1"/>
  <c r="T53" i="1"/>
  <c r="T54" i="1"/>
  <c r="AA54" i="1"/>
  <c r="AB54" i="1"/>
  <c r="AE54" i="1"/>
  <c r="AD54" i="1"/>
  <c r="AF54" i="1"/>
  <c r="AC54" i="1"/>
  <c r="W54" i="1"/>
  <c r="N54" i="1"/>
  <c r="T52" i="1"/>
  <c r="AA53" i="1"/>
  <c r="AB53" i="1"/>
  <c r="AE53" i="1"/>
  <c r="AD53" i="1"/>
  <c r="AF53" i="1"/>
  <c r="AC53" i="1"/>
  <c r="W53" i="1"/>
  <c r="N53" i="1"/>
  <c r="T51" i="1"/>
  <c r="AA52" i="1"/>
  <c r="AB52" i="1"/>
  <c r="AE52" i="1"/>
  <c r="AD52" i="1"/>
  <c r="AF52" i="1"/>
  <c r="AC52" i="1"/>
  <c r="W52" i="1"/>
  <c r="N52" i="1"/>
  <c r="T50" i="1"/>
  <c r="T49" i="1"/>
  <c r="K49" i="1"/>
  <c r="L49" i="1"/>
  <c r="W49" i="1"/>
  <c r="AA49" i="1"/>
  <c r="AC49" i="1"/>
  <c r="W50" i="1"/>
  <c r="AA50" i="1"/>
  <c r="AC50" i="1"/>
  <c r="W51" i="1"/>
  <c r="AA51" i="1"/>
  <c r="AB51" i="1"/>
  <c r="N49" i="1"/>
  <c r="O49" i="1"/>
  <c r="P49" i="1"/>
  <c r="AE49" i="1"/>
  <c r="AE50" i="1"/>
  <c r="AE51" i="1"/>
  <c r="AD51" i="1"/>
  <c r="AF51" i="1"/>
  <c r="AC51" i="1"/>
  <c r="N51" i="1"/>
  <c r="AB50" i="1"/>
  <c r="AD50" i="1"/>
  <c r="AF50" i="1"/>
  <c r="N50" i="1"/>
  <c r="AB49" i="1"/>
  <c r="AD49" i="1"/>
  <c r="AF49" i="1"/>
  <c r="Q49" i="1"/>
  <c r="T47" i="1"/>
  <c r="T48" i="1"/>
  <c r="AA48" i="1"/>
  <c r="AB48" i="1"/>
  <c r="AE48" i="1"/>
  <c r="AD48" i="1"/>
  <c r="AF48" i="1"/>
  <c r="AC48" i="1"/>
  <c r="W48" i="1"/>
  <c r="N48" i="1"/>
  <c r="T46" i="1"/>
  <c r="AA47" i="1"/>
  <c r="AB47" i="1"/>
  <c r="AE47" i="1"/>
  <c r="AD47" i="1"/>
  <c r="AF47" i="1"/>
  <c r="AC47" i="1"/>
  <c r="W47" i="1"/>
  <c r="N47" i="1"/>
  <c r="T45" i="1"/>
  <c r="AA46" i="1"/>
  <c r="AB46" i="1"/>
  <c r="AE46" i="1"/>
  <c r="AD46" i="1"/>
  <c r="AF46" i="1"/>
  <c r="AC46" i="1"/>
  <c r="W46" i="1"/>
  <c r="N46" i="1"/>
  <c r="T44" i="1"/>
  <c r="T43" i="1"/>
  <c r="K43" i="1"/>
  <c r="L43" i="1"/>
  <c r="W43" i="1"/>
  <c r="AA43" i="1"/>
  <c r="AC43" i="1"/>
  <c r="W44" i="1"/>
  <c r="AA44" i="1"/>
  <c r="AC44" i="1"/>
  <c r="W45" i="1"/>
  <c r="AA45" i="1"/>
  <c r="AB45" i="1"/>
  <c r="N43" i="1"/>
  <c r="O43" i="1"/>
  <c r="P43" i="1"/>
  <c r="AE43" i="1"/>
  <c r="AE44" i="1"/>
  <c r="AE45" i="1"/>
  <c r="AD45" i="1"/>
  <c r="AF45" i="1"/>
  <c r="AC45" i="1"/>
  <c r="N45" i="1"/>
  <c r="AB44" i="1"/>
  <c r="AD44" i="1"/>
  <c r="AF44" i="1"/>
  <c r="N44" i="1"/>
  <c r="AB43" i="1"/>
  <c r="AD43" i="1"/>
  <c r="AF43" i="1"/>
  <c r="Q43" i="1"/>
  <c r="B221" i="13" a="1"/>
  <c r="B221" i="13"/>
  <c r="N28" i="1"/>
  <c r="O28" i="1"/>
  <c r="N34" i="1"/>
  <c r="O34" i="1"/>
  <c r="A24" i="24"/>
  <c r="A25" i="24"/>
  <c r="A26" i="24"/>
  <c r="A27" i="24"/>
  <c r="A28" i="24"/>
  <c r="A29" i="24"/>
  <c r="A30" i="24"/>
  <c r="A31" i="24"/>
  <c r="A32" i="24"/>
  <c r="A33" i="24"/>
  <c r="A34" i="24"/>
  <c r="A35" i="24"/>
  <c r="A5" i="24"/>
  <c r="A6" i="24"/>
  <c r="A7" i="24"/>
  <c r="A8" i="24"/>
  <c r="A9" i="24"/>
  <c r="A10" i="24"/>
  <c r="A11" i="24"/>
  <c r="A12" i="24"/>
  <c r="A13" i="24"/>
  <c r="A14" i="24"/>
  <c r="A15" i="24"/>
  <c r="A16" i="24"/>
  <c r="A17" i="24"/>
  <c r="A18" i="24"/>
  <c r="A19" i="24"/>
  <c r="T10" i="1"/>
  <c r="N10" i="1"/>
  <c r="O10" i="1"/>
  <c r="P10" i="1"/>
  <c r="C6" i="22"/>
  <c r="B6" i="22"/>
  <c r="AC9" i="22"/>
  <c r="AA9" i="22"/>
  <c r="Y9" i="22"/>
  <c r="W9" i="22"/>
  <c r="U9" i="22"/>
  <c r="S9" i="22"/>
  <c r="Q9" i="22"/>
  <c r="O9" i="22"/>
  <c r="M9" i="22"/>
  <c r="K9" i="22"/>
  <c r="I9" i="22"/>
  <c r="G9" i="22"/>
  <c r="AD9" i="22"/>
  <c r="AE9" i="22"/>
  <c r="AC8" i="22"/>
  <c r="AA8" i="22"/>
  <c r="Y8" i="22"/>
  <c r="W8" i="22"/>
  <c r="U8" i="22"/>
  <c r="S8" i="22"/>
  <c r="Q8" i="22"/>
  <c r="O8" i="22"/>
  <c r="M8" i="22"/>
  <c r="K8" i="22"/>
  <c r="I8" i="22"/>
  <c r="G8" i="22"/>
  <c r="AC7" i="22"/>
  <c r="AA7" i="22"/>
  <c r="Y7" i="22"/>
  <c r="W7" i="22"/>
  <c r="U7" i="22"/>
  <c r="S7" i="22"/>
  <c r="Q7" i="22"/>
  <c r="O7" i="22"/>
  <c r="M7" i="22"/>
  <c r="K7" i="22"/>
  <c r="I7" i="22"/>
  <c r="G7" i="22"/>
  <c r="AC6" i="22"/>
  <c r="AA6" i="22"/>
  <c r="Y6" i="22"/>
  <c r="W6" i="22"/>
  <c r="U6" i="22"/>
  <c r="S6" i="22"/>
  <c r="Q6" i="22"/>
  <c r="O6" i="22"/>
  <c r="M6" i="22"/>
  <c r="K6" i="22"/>
  <c r="I6" i="22"/>
  <c r="G6" i="22"/>
  <c r="AD8" i="22"/>
  <c r="AE8" i="22"/>
  <c r="AF8" i="22"/>
  <c r="AD7" i="22"/>
  <c r="AE7" i="22"/>
  <c r="AF7" i="22"/>
  <c r="AD6" i="22"/>
  <c r="AE6" i="22"/>
  <c r="AF6" i="22"/>
  <c r="AF9" i="22"/>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W10" i="1"/>
  <c r="K10" i="1"/>
  <c r="L10" i="1"/>
  <c r="N25" i="1"/>
  <c r="N17" i="1"/>
  <c r="N23" i="1"/>
  <c r="N24" i="1"/>
  <c r="N32" i="1"/>
  <c r="N29" i="1"/>
  <c r="N33" i="1"/>
  <c r="N31" i="1"/>
  <c r="N35" i="1"/>
  <c r="N21" i="1"/>
  <c r="N19" i="1"/>
  <c r="N18" i="1"/>
  <c r="N26" i="1"/>
  <c r="N27" i="1"/>
  <c r="N36" i="1"/>
  <c r="N20" i="1"/>
  <c r="N30" i="1"/>
  <c r="N37" i="1"/>
  <c r="N38" i="1"/>
  <c r="N39" i="1"/>
  <c r="F221" i="13"/>
  <c r="F211" i="13"/>
  <c r="F212" i="13"/>
  <c r="F213" i="13"/>
  <c r="F214" i="13"/>
  <c r="F215" i="13"/>
  <c r="F216" i="13"/>
  <c r="F217" i="13"/>
  <c r="F218" i="13"/>
  <c r="F219" i="13"/>
  <c r="F220" i="13"/>
  <c r="F210" i="13"/>
  <c r="N15" i="1"/>
  <c r="N14" i="1"/>
  <c r="N11" i="1"/>
  <c r="N12" i="1"/>
  <c r="N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W39" i="1"/>
  <c r="W38" i="1"/>
  <c r="W37" i="1"/>
  <c r="W36" i="1"/>
  <c r="W35" i="1"/>
  <c r="W34" i="1"/>
  <c r="AE35" i="1"/>
  <c r="K34" i="1"/>
  <c r="L34" i="1"/>
  <c r="W33" i="1"/>
  <c r="W32" i="1"/>
  <c r="W31" i="1"/>
  <c r="W30" i="1"/>
  <c r="W29" i="1"/>
  <c r="W28" i="1"/>
  <c r="K28" i="1"/>
  <c r="L28" i="1"/>
  <c r="W27" i="1"/>
  <c r="W26" i="1"/>
  <c r="W25" i="1"/>
  <c r="W24" i="1"/>
  <c r="W23" i="1"/>
  <c r="W22" i="1"/>
  <c r="K22" i="1"/>
  <c r="L22" i="1"/>
  <c r="K16" i="1"/>
  <c r="W21" i="1"/>
  <c r="W20" i="1"/>
  <c r="W19" i="1"/>
  <c r="W18" i="1"/>
  <c r="W17" i="1"/>
  <c r="W16" i="1"/>
  <c r="N22" i="1"/>
  <c r="O22" i="1"/>
  <c r="P22" i="1"/>
  <c r="AE22" i="1"/>
  <c r="AE23" i="1"/>
  <c r="N16" i="1"/>
  <c r="O16" i="1"/>
  <c r="P16" i="1"/>
  <c r="AE16" i="1"/>
  <c r="AE17" i="1"/>
  <c r="AE29" i="1"/>
  <c r="L16" i="1"/>
  <c r="AA34" i="1"/>
  <c r="AA28" i="1"/>
  <c r="AA22" i="1"/>
  <c r="AA16" i="1"/>
  <c r="AB34" i="1"/>
  <c r="AC34" i="1"/>
  <c r="AA35" i="1"/>
  <c r="AC35" i="1"/>
  <c r="AA36" i="1"/>
  <c r="AB28" i="1"/>
  <c r="AC28" i="1"/>
  <c r="AB22" i="1"/>
  <c r="AC22" i="1"/>
  <c r="AA23" i="1"/>
  <c r="AC23" i="1"/>
  <c r="AA24" i="1"/>
  <c r="AB24" i="1"/>
  <c r="AB16" i="1"/>
  <c r="AC16" i="1"/>
  <c r="AA17" i="1"/>
  <c r="AB35" i="1"/>
  <c r="AB23" i="1"/>
  <c r="AB36" i="1"/>
  <c r="AC36" i="1"/>
  <c r="AA29" i="1"/>
  <c r="AC24"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W11" i="1"/>
  <c r="W12" i="1"/>
  <c r="W13" i="1"/>
  <c r="W14" i="1"/>
  <c r="W15" i="1"/>
  <c r="AA37" i="1"/>
  <c r="AB29" i="1"/>
  <c r="AC29" i="1"/>
  <c r="AA30" i="1"/>
  <c r="AB30" i="1"/>
  <c r="AA26" i="1"/>
  <c r="AB26" i="1"/>
  <c r="AA25" i="1"/>
  <c r="AB17" i="1"/>
  <c r="AC17" i="1"/>
  <c r="AA18" i="1"/>
  <c r="AB18" i="1"/>
  <c r="AC30" i="1"/>
  <c r="AA31" i="1"/>
  <c r="AC31" i="1"/>
  <c r="AA32" i="1"/>
  <c r="AB37" i="1"/>
  <c r="AC37" i="1"/>
  <c r="AA38" i="1"/>
  <c r="AB38" i="1"/>
  <c r="AB25" i="1"/>
  <c r="AC25" i="1"/>
  <c r="AC26" i="1"/>
  <c r="AA27" i="1"/>
  <c r="AC18" i="1"/>
  <c r="AA19" i="1"/>
  <c r="AB19" i="1"/>
  <c r="AB31" i="1"/>
  <c r="AC38" i="1"/>
  <c r="AA39" i="1"/>
  <c r="AB39" i="1"/>
  <c r="AC32" i="1"/>
  <c r="AA33" i="1"/>
  <c r="AB32" i="1"/>
  <c r="AB27" i="1"/>
  <c r="AC27" i="1"/>
  <c r="AC19" i="1"/>
  <c r="AA20" i="1"/>
  <c r="AC20" i="1"/>
  <c r="AA21" i="1"/>
  <c r="AA10" i="1"/>
  <c r="AB10" i="1"/>
  <c r="AB33" i="1"/>
  <c r="AC33" i="1"/>
  <c r="AC39" i="1"/>
  <c r="AB20" i="1"/>
  <c r="AB21" i="1"/>
  <c r="AC21" i="1"/>
  <c r="AE10" i="1"/>
  <c r="AE11" i="1"/>
  <c r="AC10" i="1"/>
  <c r="AA11" i="1"/>
  <c r="AB11" i="1"/>
  <c r="AC11" i="1"/>
  <c r="AA12" i="1"/>
  <c r="AB12" i="1"/>
  <c r="AC12" i="1"/>
  <c r="AA13" i="1"/>
  <c r="AC13" i="1"/>
  <c r="AA14" i="1"/>
  <c r="AB14" i="1"/>
  <c r="AC14" i="1"/>
  <c r="AA15" i="1"/>
  <c r="AB13" i="1"/>
  <c r="AB15" i="1"/>
  <c r="AC15" i="1"/>
  <c r="AD22" i="1"/>
  <c r="P34" i="1"/>
  <c r="AE34" i="1"/>
  <c r="AD34" i="1"/>
  <c r="AD16" i="1"/>
  <c r="P28" i="1"/>
  <c r="AE28" i="1"/>
  <c r="AD28" i="1"/>
  <c r="J40" i="19"/>
  <c r="V30" i="19"/>
  <c r="AH20" i="19"/>
  <c r="J30" i="19"/>
  <c r="V20" i="19"/>
  <c r="AH10" i="19"/>
  <c r="P10" i="19"/>
  <c r="AB50" i="19"/>
  <c r="J50" i="19"/>
  <c r="AB40" i="19"/>
  <c r="P30" i="19"/>
  <c r="V50" i="19"/>
  <c r="P50" i="19"/>
  <c r="AB10" i="19"/>
  <c r="AH30" i="19"/>
  <c r="AH40" i="19"/>
  <c r="J10" i="19"/>
  <c r="AB20" i="19"/>
  <c r="AH50" i="19"/>
  <c r="AF28" i="1"/>
  <c r="V10" i="19"/>
  <c r="P20" i="19"/>
  <c r="J20" i="19"/>
  <c r="P40" i="19"/>
  <c r="V40" i="19"/>
  <c r="AB30" i="19"/>
  <c r="J11" i="19"/>
  <c r="V11" i="19"/>
  <c r="AB21" i="19"/>
  <c r="P31" i="19"/>
  <c r="J31" i="19"/>
  <c r="AB41" i="19"/>
  <c r="AF34" i="1"/>
  <c r="AH41" i="19"/>
  <c r="P41" i="19"/>
  <c r="J21" i="19"/>
  <c r="AB31" i="19"/>
  <c r="AB51" i="19"/>
  <c r="P21" i="19"/>
  <c r="V41" i="19"/>
  <c r="V31" i="19"/>
  <c r="AH21" i="19"/>
  <c r="AB11" i="19"/>
  <c r="P51" i="19"/>
  <c r="V21" i="19"/>
  <c r="AH31" i="19"/>
  <c r="V51" i="19"/>
  <c r="J51" i="19"/>
  <c r="AH51" i="19"/>
  <c r="AH11" i="19"/>
  <c r="J41" i="19"/>
  <c r="P11" i="19"/>
  <c r="J47" i="19"/>
  <c r="V27" i="19"/>
  <c r="AH7" i="19"/>
  <c r="P47" i="19"/>
  <c r="AB27" i="19"/>
  <c r="J17" i="19"/>
  <c r="V47" i="19"/>
  <c r="J37" i="19"/>
  <c r="AF16" i="1"/>
  <c r="AB37" i="19"/>
  <c r="J27" i="19"/>
  <c r="V7" i="19"/>
  <c r="AH37" i="19"/>
  <c r="P27" i="19"/>
  <c r="AB7" i="19"/>
  <c r="P17" i="19"/>
  <c r="V17" i="19"/>
  <c r="AH47" i="19"/>
  <c r="P37" i="19"/>
  <c r="AB17" i="19"/>
  <c r="J7" i="19"/>
  <c r="V37" i="19"/>
  <c r="AH17" i="19"/>
  <c r="P7" i="19"/>
  <c r="AH27" i="19"/>
  <c r="AB47" i="19"/>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F22"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E12" i="1"/>
  <c r="AD11" i="1"/>
  <c r="AE30" i="1"/>
  <c r="AD29" i="1"/>
  <c r="AD35" i="1"/>
  <c r="AE36" i="1"/>
  <c r="AD36" i="1"/>
  <c r="AE37" i="1"/>
  <c r="V32" i="19"/>
  <c r="P42" i="19"/>
  <c r="J12" i="19"/>
  <c r="J32" i="19"/>
  <c r="AB52" i="19"/>
  <c r="J22" i="19"/>
  <c r="V22" i="19"/>
  <c r="J52" i="19"/>
  <c r="AH12" i="19"/>
  <c r="J42" i="19"/>
  <c r="AH42" i="19"/>
  <c r="P32" i="19"/>
  <c r="AB12" i="19"/>
  <c r="AH32" i="19"/>
  <c r="AB32" i="19"/>
  <c r="AB42" i="19"/>
  <c r="V42" i="19"/>
  <c r="V12" i="19"/>
  <c r="V52" i="19"/>
  <c r="AB22" i="19"/>
  <c r="AH52" i="19"/>
  <c r="AH22" i="19"/>
  <c r="P22" i="19"/>
  <c r="P12" i="19"/>
  <c r="P52" i="19"/>
  <c r="AE18" i="1"/>
  <c r="AD17" i="1"/>
  <c r="AD23" i="1"/>
  <c r="AE24" i="1"/>
  <c r="W37" i="19"/>
  <c r="AI7" i="19"/>
  <c r="W17" i="19"/>
  <c r="W27" i="19"/>
  <c r="Q47" i="19"/>
  <c r="W7" i="19"/>
  <c r="AI17" i="19"/>
  <c r="K47" i="19"/>
  <c r="AI47" i="19"/>
  <c r="Q27" i="19"/>
  <c r="AC27" i="19"/>
  <c r="AC47" i="19"/>
  <c r="AC37" i="19"/>
  <c r="AI37" i="19"/>
  <c r="AF17" i="1"/>
  <c r="AC17" i="19"/>
  <c r="K37" i="19"/>
  <c r="AC7" i="19"/>
  <c r="W47" i="19"/>
  <c r="Q37" i="19"/>
  <c r="AI27" i="19"/>
  <c r="Q7" i="19"/>
  <c r="K27" i="19"/>
  <c r="K17" i="19"/>
  <c r="K7" i="19"/>
  <c r="Q17" i="19"/>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F35"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AF36" i="1"/>
  <c r="L41" i="19"/>
  <c r="AD11" i="19"/>
  <c r="L21" i="19"/>
  <c r="L11" i="19"/>
  <c r="X51" i="19"/>
  <c r="X21" i="19"/>
  <c r="R11" i="19"/>
  <c r="R31" i="19"/>
  <c r="AJ41" i="19"/>
  <c r="L31" i="19"/>
  <c r="R51" i="19"/>
  <c r="X31" i="19"/>
  <c r="X11" i="19"/>
  <c r="X41" i="19"/>
  <c r="AJ31" i="19"/>
  <c r="AD51" i="19"/>
  <c r="R41" i="19"/>
  <c r="AD21" i="19"/>
  <c r="L51" i="19"/>
  <c r="AE19" i="1"/>
  <c r="AD18" i="1"/>
  <c r="AD24" i="1"/>
  <c r="AE25" i="1"/>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AF29" i="1"/>
  <c r="K10" i="19"/>
  <c r="Q40" i="19"/>
  <c r="K30" i="19"/>
  <c r="AI50" i="19"/>
  <c r="AI20" i="19"/>
  <c r="K50" i="19"/>
  <c r="AI40" i="19"/>
  <c r="W40" i="19"/>
  <c r="K20" i="19"/>
  <c r="AC10" i="19"/>
  <c r="AI10" i="19"/>
  <c r="AC20" i="19"/>
  <c r="AI30" i="19"/>
  <c r="AC30" i="19"/>
  <c r="W30" i="19"/>
  <c r="Q20" i="19"/>
  <c r="AF11"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39" i="19"/>
  <c r="AC39" i="19"/>
  <c r="W29" i="19"/>
  <c r="AI49" i="19"/>
  <c r="W9" i="19"/>
  <c r="AC19" i="19"/>
  <c r="Q49" i="19"/>
  <c r="W49" i="19"/>
  <c r="AC9" i="19"/>
  <c r="AI9" i="19"/>
  <c r="Q29" i="19"/>
  <c r="W39" i="19"/>
  <c r="Q39" i="19"/>
  <c r="AF23"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D37" i="1"/>
  <c r="AE39" i="1"/>
  <c r="AD39" i="1"/>
  <c r="AE38" i="1"/>
  <c r="AD38" i="1"/>
  <c r="AD30" i="1"/>
  <c r="AE31" i="1"/>
  <c r="AE13" i="1"/>
  <c r="AD13" i="1"/>
  <c r="AD12" i="1"/>
  <c r="AE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D14" i="1"/>
  <c r="AE15" i="1"/>
  <c r="AD15" i="1"/>
  <c r="R40" i="19"/>
  <c r="AD10" i="19"/>
  <c r="X40" i="19"/>
  <c r="AJ10" i="19"/>
  <c r="R50" i="19"/>
  <c r="X10" i="19"/>
  <c r="R30" i="19"/>
  <c r="AF30" i="1"/>
  <c r="L10" i="19"/>
  <c r="L50" i="19"/>
  <c r="AJ20" i="19"/>
  <c r="AJ40" i="19"/>
  <c r="AD30" i="19"/>
  <c r="R20" i="19"/>
  <c r="AD50" i="19"/>
  <c r="AJ30" i="19"/>
  <c r="AJ50" i="19"/>
  <c r="X30" i="19"/>
  <c r="AD20" i="19"/>
  <c r="L40" i="19"/>
  <c r="X50" i="19"/>
  <c r="X20" i="19"/>
  <c r="AD40" i="19"/>
  <c r="R10" i="19"/>
  <c r="L30" i="19"/>
  <c r="L20" i="19"/>
  <c r="AD47" i="19"/>
  <c r="AJ27" i="19"/>
  <c r="AD27" i="19"/>
  <c r="AJ7" i="19"/>
  <c r="AJ37" i="19"/>
  <c r="L27" i="19"/>
  <c r="AD17" i="19"/>
  <c r="L37" i="19"/>
  <c r="R17" i="19"/>
  <c r="AJ17" i="19"/>
  <c r="X7" i="19"/>
  <c r="X47" i="19"/>
  <c r="L7" i="19"/>
  <c r="L17" i="19"/>
  <c r="R27" i="19"/>
  <c r="X27" i="19"/>
  <c r="R7" i="19"/>
  <c r="X17" i="19"/>
  <c r="AJ47" i="19"/>
  <c r="L47" i="19"/>
  <c r="R37" i="19"/>
  <c r="AD7" i="19"/>
  <c r="X37" i="19"/>
  <c r="AF18" i="1"/>
  <c r="R47" i="19"/>
  <c r="AD37"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AD19" i="1"/>
  <c r="AE20"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F38"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F13" i="1"/>
  <c r="O11" i="19"/>
  <c r="O21" i="19"/>
  <c r="O51" i="19"/>
  <c r="AA31" i="19"/>
  <c r="AM31" i="19"/>
  <c r="AG51" i="19"/>
  <c r="AA41" i="19"/>
  <c r="AM11" i="19"/>
  <c r="U21" i="19"/>
  <c r="AG41" i="19"/>
  <c r="AM21" i="19"/>
  <c r="AM51" i="19"/>
  <c r="O41" i="19"/>
  <c r="U11" i="19"/>
  <c r="AG31" i="19"/>
  <c r="U41" i="19"/>
  <c r="AF39" i="1"/>
  <c r="AG11" i="19"/>
  <c r="AM41" i="19"/>
  <c r="AA21" i="19"/>
  <c r="AA51" i="19"/>
  <c r="U51" i="19"/>
  <c r="U31" i="19"/>
  <c r="AA11" i="19"/>
  <c r="AG21" i="19"/>
  <c r="O31" i="19"/>
  <c r="AD25" i="1"/>
  <c r="AE26" i="1"/>
  <c r="AD26" i="1"/>
  <c r="AE27" i="1"/>
  <c r="AD27" i="1"/>
  <c r="AJ46" i="19"/>
  <c r="AD46" i="19"/>
  <c r="L36" i="19"/>
  <c r="X16" i="19"/>
  <c r="AJ26" i="19"/>
  <c r="L46" i="19"/>
  <c r="X6" i="19"/>
  <c r="R36" i="19"/>
  <c r="X36" i="19"/>
  <c r="R6" i="19"/>
  <c r="AJ6" i="19"/>
  <c r="AD36" i="19"/>
  <c r="R46" i="19"/>
  <c r="AD26" i="19"/>
  <c r="L16" i="19"/>
  <c r="AD16" i="19"/>
  <c r="AF12" i="1"/>
  <c r="X46" i="19"/>
  <c r="X26" i="19"/>
  <c r="AJ36" i="19"/>
  <c r="R26" i="19"/>
  <c r="AD6" i="19"/>
  <c r="L6" i="19"/>
  <c r="L26" i="19"/>
  <c r="R16" i="19"/>
  <c r="AJ16" i="19"/>
  <c r="AD31" i="1"/>
  <c r="AE32" i="1"/>
  <c r="AE11" i="19"/>
  <c r="Y41" i="19"/>
  <c r="M41" i="19"/>
  <c r="Y21" i="19"/>
  <c r="AK41" i="19"/>
  <c r="S31" i="19"/>
  <c r="M31" i="19"/>
  <c r="M51" i="19"/>
  <c r="Y51" i="19"/>
  <c r="AK21" i="19"/>
  <c r="AK31" i="19"/>
  <c r="Y11" i="19"/>
  <c r="AE41" i="19"/>
  <c r="AE21" i="19"/>
  <c r="S51" i="19"/>
  <c r="AE51" i="19"/>
  <c r="AK51" i="19"/>
  <c r="M21" i="19"/>
  <c r="AE31" i="19"/>
  <c r="AF37"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F24" i="1"/>
  <c r="AD9" i="19"/>
  <c r="AJ49" i="19"/>
  <c r="L39" i="19"/>
  <c r="R19" i="19"/>
  <c r="AJ39" i="19"/>
  <c r="AJ29" i="19"/>
  <c r="AJ19" i="19"/>
  <c r="AJ9" i="19"/>
  <c r="AD49" i="19"/>
  <c r="L19" i="19"/>
  <c r="L29" i="19"/>
  <c r="R49" i="19"/>
  <c r="AD32" i="1"/>
  <c r="AE33" i="1"/>
  <c r="AD33" i="1"/>
  <c r="AG39" i="19"/>
  <c r="AG29" i="19"/>
  <c r="AM19" i="19"/>
  <c r="O39" i="19"/>
  <c r="AF27"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F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F31"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F26" i="1"/>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F25" i="1"/>
  <c r="M9" i="19"/>
  <c r="Y29" i="19"/>
  <c r="AM46" i="19"/>
  <c r="U36" i="19"/>
  <c r="AG16" i="19"/>
  <c r="O6" i="19"/>
  <c r="AA36" i="19"/>
  <c r="AM16" i="19"/>
  <c r="U6" i="19"/>
  <c r="AG46" i="19"/>
  <c r="AA16" i="19"/>
  <c r="AF15" i="1"/>
  <c r="AA6" i="19"/>
  <c r="AG6" i="19"/>
  <c r="AA46" i="19"/>
  <c r="AM26" i="19"/>
  <c r="U16" i="19"/>
  <c r="O36" i="19"/>
  <c r="U26" i="19"/>
  <c r="O46" i="19"/>
  <c r="AA26" i="19"/>
  <c r="AM6" i="19"/>
  <c r="U46" i="19"/>
  <c r="AG26" i="19"/>
  <c r="O16" i="19"/>
  <c r="AG36" i="19"/>
  <c r="O26" i="19"/>
  <c r="AM36" i="19"/>
  <c r="AE21" i="1"/>
  <c r="AD21" i="1"/>
  <c r="AD20" i="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F14" i="1"/>
  <c r="AL16" i="19"/>
  <c r="T16" i="19"/>
  <c r="AG24" i="19"/>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F33"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F21" i="1"/>
  <c r="AA17" i="19"/>
  <c r="O7" i="19"/>
  <c r="AA37" i="19"/>
  <c r="AA27" i="19"/>
  <c r="AM27" i="19"/>
  <c r="U17" i="19"/>
  <c r="U47" i="19"/>
  <c r="AG17" i="19"/>
  <c r="O47" i="19"/>
  <c r="Z40" i="19"/>
  <c r="AF32"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X6" i="18"/>
  <c r="AJ30" i="18"/>
  <c r="R22" i="18"/>
  <c r="L6" i="18"/>
  <c r="R30" i="18"/>
  <c r="X22" i="18"/>
  <c r="X38" i="18"/>
  <c r="AD38" i="18"/>
  <c r="Q16" i="1"/>
  <c r="AD22" i="18"/>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Q28" i="1"/>
  <c r="L32" i="18"/>
  <c r="X8" i="18"/>
  <c r="X24" i="18"/>
  <c r="AJ8" i="18"/>
  <c r="R40" i="18"/>
  <c r="L40" i="18"/>
  <c r="X16" i="18"/>
  <c r="L24" i="18"/>
  <c r="AJ24" i="18"/>
  <c r="X32" i="18"/>
  <c r="AJ40" i="18"/>
  <c r="R16" i="18"/>
  <c r="AD40" i="18"/>
  <c r="AD32" i="18"/>
  <c r="AD16" i="18"/>
  <c r="J42" i="18"/>
  <c r="P34" i="18"/>
  <c r="AB18" i="18"/>
  <c r="AB42" i="18"/>
  <c r="AH34" i="18"/>
  <c r="P10" i="18"/>
  <c r="V34" i="18"/>
  <c r="P42" i="18"/>
  <c r="V42" i="18"/>
  <c r="AH42" i="18"/>
  <c r="AB26" i="18"/>
  <c r="AH26" i="18"/>
  <c r="V26" i="18"/>
  <c r="AB34" i="18"/>
  <c r="V10" i="18"/>
  <c r="AH18" i="18"/>
  <c r="J34" i="18"/>
  <c r="J10" i="18"/>
  <c r="AB10" i="18"/>
  <c r="J18" i="18"/>
  <c r="P26" i="18"/>
  <c r="J26" i="18"/>
  <c r="AH10" i="18"/>
  <c r="P18" i="18"/>
  <c r="V18" i="18"/>
  <c r="X42" i="18"/>
  <c r="AD34" i="18"/>
  <c r="AD10" i="18"/>
  <c r="AD26" i="18"/>
  <c r="L10" i="18"/>
  <c r="L42" i="18"/>
  <c r="L26" i="18"/>
  <c r="X18" i="18"/>
  <c r="X34" i="18"/>
  <c r="X10" i="18"/>
  <c r="R18" i="18"/>
  <c r="AJ10" i="18"/>
  <c r="AD42" i="18"/>
  <c r="AJ34" i="18"/>
  <c r="R26" i="18"/>
  <c r="L18" i="18"/>
  <c r="AJ26" i="18"/>
  <c r="AD18" i="18"/>
  <c r="R34" i="18"/>
  <c r="L34" i="18"/>
  <c r="AJ42" i="18"/>
  <c r="R10" i="18"/>
  <c r="R42" i="18"/>
  <c r="X26" i="18"/>
  <c r="AJ18" i="18"/>
  <c r="T14" i="18"/>
  <c r="AL38" i="18"/>
  <c r="N14" i="18"/>
  <c r="Z6" i="18"/>
  <c r="T38" i="18"/>
  <c r="T22" i="18"/>
  <c r="AL14" i="18"/>
  <c r="N22" i="18"/>
  <c r="AF22" i="18"/>
  <c r="N6" i="18"/>
  <c r="AF6" i="18"/>
  <c r="AF38" i="18"/>
  <c r="N38" i="18"/>
  <c r="AL30" i="18"/>
  <c r="AL22" i="18"/>
  <c r="T6" i="18"/>
  <c r="AF14" i="18"/>
  <c r="AF30" i="18"/>
  <c r="Z22" i="18"/>
  <c r="T30" i="18"/>
  <c r="Z30" i="18"/>
  <c r="AL6" i="18"/>
  <c r="Z14" i="18"/>
  <c r="Z38" i="18"/>
  <c r="N30" i="18"/>
  <c r="J40" i="18"/>
  <c r="AB40" i="18"/>
  <c r="AH32" i="18"/>
  <c r="AB24" i="18"/>
  <c r="V16" i="18"/>
  <c r="J16" i="18"/>
  <c r="P32" i="18"/>
  <c r="V24" i="18"/>
  <c r="P24" i="18"/>
  <c r="V40" i="18"/>
  <c r="P16" i="18"/>
  <c r="P40" i="18"/>
  <c r="V32" i="18"/>
  <c r="AH16" i="18"/>
  <c r="AB16" i="18"/>
  <c r="V8" i="18"/>
  <c r="AH24" i="18"/>
  <c r="AH8" i="18"/>
  <c r="AH40" i="18"/>
  <c r="J8" i="18"/>
  <c r="AB32" i="18"/>
  <c r="AB8" i="18"/>
  <c r="J24" i="18"/>
  <c r="J32" i="18"/>
  <c r="P8" i="18"/>
  <c r="Q22" i="1"/>
  <c r="Z42" i="18"/>
  <c r="T18" i="18"/>
  <c r="AF34" i="18"/>
  <c r="AF42" i="18"/>
  <c r="N42" i="18"/>
  <c r="Z18" i="18"/>
  <c r="AL10" i="18"/>
  <c r="AL26" i="18"/>
  <c r="AF26" i="18"/>
  <c r="Z10" i="18"/>
  <c r="N18" i="18"/>
  <c r="T26" i="18"/>
  <c r="AF10" i="18"/>
  <c r="T34" i="18"/>
  <c r="N26" i="18"/>
  <c r="AL18" i="18"/>
  <c r="N10" i="18"/>
  <c r="AF18" i="18"/>
  <c r="Z26" i="18"/>
  <c r="AL34" i="18"/>
  <c r="Z34" i="18"/>
  <c r="T10" i="18"/>
  <c r="AL42" i="18"/>
  <c r="N34" i="18"/>
  <c r="T42" i="18"/>
  <c r="P14" i="18"/>
  <c r="V22" i="18"/>
  <c r="V14" i="18"/>
  <c r="P22" i="18"/>
  <c r="V38" i="18"/>
  <c r="AH14" i="18"/>
  <c r="AH38" i="18"/>
  <c r="J14" i="18"/>
  <c r="AB22" i="18"/>
  <c r="V30" i="18"/>
  <c r="AB14" i="18"/>
  <c r="AB38" i="18"/>
  <c r="J30" i="18"/>
  <c r="P38" i="18"/>
  <c r="AB6" i="18"/>
  <c r="AD10" i="1"/>
  <c r="AH30" i="18"/>
  <c r="J38" i="18"/>
  <c r="AH6" i="18"/>
  <c r="V6" i="18"/>
  <c r="AB30" i="18"/>
  <c r="J22" i="18"/>
  <c r="J6" i="18"/>
  <c r="P30" i="18"/>
  <c r="AH22" i="18"/>
  <c r="P6" i="18"/>
  <c r="Q10" i="1"/>
  <c r="AH12" i="18"/>
  <c r="J20" i="18"/>
  <c r="J44" i="18"/>
  <c r="AB28" i="18"/>
  <c r="P28" i="18"/>
  <c r="P12" i="18"/>
  <c r="AH20" i="18"/>
  <c r="P44" i="18"/>
  <c r="AB12" i="18"/>
  <c r="P20" i="18"/>
  <c r="J36" i="18"/>
  <c r="P36" i="18"/>
  <c r="AB44" i="18"/>
  <c r="V44" i="18"/>
  <c r="J28" i="18"/>
  <c r="AH36" i="18"/>
  <c r="V12" i="18"/>
  <c r="V28" i="18"/>
  <c r="AH44" i="18"/>
  <c r="AB20" i="18"/>
  <c r="AB36" i="18"/>
  <c r="AH28" i="18"/>
  <c r="V36" i="18"/>
  <c r="V20" i="18"/>
  <c r="J12" i="18"/>
  <c r="AF24" i="18"/>
  <c r="AF32" i="18"/>
  <c r="T40" i="18"/>
  <c r="Z40" i="18"/>
  <c r="AL8" i="18"/>
  <c r="AF8" i="18"/>
  <c r="T8" i="18"/>
  <c r="Z16" i="18"/>
  <c r="T24" i="18"/>
  <c r="AL24" i="18"/>
  <c r="Z32" i="18"/>
  <c r="N32" i="18"/>
  <c r="N16" i="18"/>
  <c r="Z8" i="18"/>
  <c r="AL40" i="18"/>
  <c r="N8" i="18"/>
  <c r="N24" i="18"/>
  <c r="T32" i="18"/>
  <c r="T16" i="18"/>
  <c r="AF40" i="18"/>
  <c r="AF16" i="18"/>
  <c r="AL32" i="18"/>
  <c r="N40" i="18"/>
  <c r="Z24" i="18"/>
  <c r="AL16" i="18"/>
  <c r="Q34" i="1"/>
  <c r="P16" i="19"/>
  <c r="P6" i="19"/>
  <c r="AH6" i="19"/>
  <c r="V46" i="19"/>
  <c r="AH46" i="19"/>
  <c r="AB46" i="19"/>
  <c r="J6" i="19"/>
  <c r="P46" i="19"/>
  <c r="AB26" i="19"/>
  <c r="AB16" i="19"/>
  <c r="AH26" i="19"/>
  <c r="J16" i="19"/>
  <c r="V26" i="19"/>
  <c r="AH36" i="19"/>
  <c r="P26" i="19"/>
  <c r="V16" i="19"/>
  <c r="V36" i="19"/>
  <c r="AF10" i="1"/>
  <c r="AH16" i="19"/>
  <c r="V6" i="19"/>
  <c r="AB36" i="19"/>
  <c r="AB6" i="19"/>
  <c r="P36" i="19"/>
  <c r="J36" i="19"/>
  <c r="J26" i="19"/>
  <c r="J46" i="19"/>
  <c r="V25" i="19"/>
  <c r="V45" i="19"/>
  <c r="J15" i="19"/>
  <c r="AB45" i="19"/>
  <c r="AH25" i="19"/>
  <c r="AH55" i="19"/>
  <c r="AB15" i="19"/>
  <c r="P15" i="19"/>
  <c r="P45" i="19"/>
  <c r="V15" i="19"/>
  <c r="J35" i="19"/>
  <c r="AH45" i="19"/>
  <c r="J25" i="19"/>
  <c r="AB35" i="19"/>
  <c r="AH15" i="19"/>
  <c r="V35" i="19"/>
  <c r="J55" i="19"/>
  <c r="AB55" i="19"/>
  <c r="AB25" i="19"/>
  <c r="AH35" i="19"/>
  <c r="P55" i="19"/>
  <c r="J45" i="19"/>
  <c r="P25" i="19"/>
  <c r="P35" i="19"/>
  <c r="V55"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<sst xmlns="http://schemas.openxmlformats.org/spreadsheetml/2006/main" count="1564" uniqueCount="505">
  <si>
    <t xml:space="preserve">Referencia </t>
  </si>
  <si>
    <t>Descripción del Riesgo</t>
  </si>
  <si>
    <t>Impacto</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</si>
  <si>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</si>
  <si>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</si>
  <si>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</si>
  <si>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</si>
  <si>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</si>
  <si>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</si>
  <si>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</si>
  <si>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</si>
  <si>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</si>
  <si>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</si>
  <si>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</si>
  <si>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</si>
  <si>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</si>
  <si>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</si>
  <si>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</si>
  <si>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</si>
  <si>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</si>
  <si>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</si>
  <si>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</si>
  <si>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</si>
  <si>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</si>
  <si>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</si>
  <si>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</si>
  <si>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</si>
  <si>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</si>
  <si>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</si>
  <si>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</si>
  <si>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</si>
  <si>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</si>
  <si>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</si>
  <si>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</si>
  <si>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</si>
  <si>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</si>
  <si>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</si>
  <si>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</si>
  <si>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</si>
  <si>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</si>
  <si>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</si>
  <si>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</si>
  <si>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</si>
  <si>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</si>
  <si>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</si>
  <si>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</si>
  <si>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</si>
  <si>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</si>
  <si>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</si>
  <si>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</si>
  <si>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</si>
  <si>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</si>
  <si>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</si>
  <si>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</si>
  <si>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</si>
  <si>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</si>
  <si>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</si>
  <si>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</si>
  <si>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</si>
  <si>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</si>
  <si>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</si>
  <si>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</si>
  <si>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</si>
  <si>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</si>
  <si>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</si>
  <si>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</si>
  <si>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</si>
  <si>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</si>
  <si>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</si>
  <si>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</si>
  <si>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</si>
  <si>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</si>
  <si>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</si>
  <si>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</si>
  <si>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</si>
  <si>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</si>
  <si>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</si>
  <si>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</si>
  <si>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</si>
  <si>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</si>
  <si>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</si>
  <si>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</si>
  <si>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</si>
  <si>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</si>
  <si>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</si>
  <si>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</si>
  <si>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</si>
  <si>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</si>
  <si>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</si>
  <si>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</si>
  <si>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</si>
  <si>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</si>
  <si>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</si>
  <si>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</si>
  <si>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</si>
  <si>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</si>
  <si>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</si>
  <si>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</si>
  <si>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</si>
  <si>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</si>
  <si>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</si>
  <si>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</si>
  <si>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</si>
  <si>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</si>
  <si>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</si>
  <si>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</si>
  <si>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</si>
  <si>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</si>
  <si>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</si>
  <si>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</si>
  <si>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</si>
  <si>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</si>
  <si>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</si>
  <si>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</si>
  <si>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</si>
  <si>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</si>
  <si>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</si>
  <si>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</si>
  <si>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</si>
  <si>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</si>
  <si>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</si>
  <si>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</si>
  <si>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</si>
  <si>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</si>
  <si>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</si>
  <si>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</si>
  <si>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</si>
  <si>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</si>
  <si>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</si>
  <si>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</si>
  <si>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</si>
  <si>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</si>
  <si>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</si>
  <si>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</si>
  <si>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</si>
  <si>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</si>
  <si>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</si>
  <si>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</si>
  <si>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</si>
  <si>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</si>
  <si>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</si>
  <si>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</si>
  <si>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</si>
  <si>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</si>
  <si>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</si>
  <si>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</si>
  <si>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</si>
  <si>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</si>
  <si>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</si>
  <si>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</si>
  <si>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</si>
  <si>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</si>
  <si>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</si>
  <si>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</si>
  <si>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</si>
  <si>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</si>
  <si>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</si>
  <si>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</si>
  <si>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</si>
  <si>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</si>
  <si>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</si>
  <si>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</si>
  <si>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</si>
  <si>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</si>
  <si>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</si>
  <si>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</si>
  <si>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</si>
  <si>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</si>
  <si>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</si>
  <si>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</si>
  <si>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</si>
  <si>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</si>
  <si>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</si>
  <si>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</si>
  <si>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</si>
  <si>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</si>
  <si>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</si>
  <si>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</si>
  <si>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</si>
  <si>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</si>
  <si>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</si>
  <si>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</si>
  <si>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</si>
  <si>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</si>
  <si>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</si>
  <si>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</si>
  <si>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</si>
  <si>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</si>
  <si>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</si>
  <si>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</si>
  <si>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</si>
  <si>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</si>
  <si>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</si>
  <si>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</si>
  <si>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</si>
  <si>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</si>
  <si>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</si>
  <si>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</si>
  <si>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</si>
  <si>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</si>
  <si>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</si>
  <si>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</si>
  <si>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</si>
  <si>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</si>
  <si>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</si>
  <si>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</si>
  <si>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Riesgo</t>
  </si>
  <si>
    <t>Calificacion del Riesgo Bruto</t>
  </si>
  <si>
    <t>Total Controles Existentes</t>
  </si>
  <si>
    <t xml:space="preserve">Controles </t>
  </si>
  <si>
    <t>Calificacion Controles Existentes</t>
  </si>
  <si>
    <t>% Cubrimiento</t>
  </si>
  <si>
    <t>%Valoracion Riesgo</t>
  </si>
  <si>
    <t>Riesgo Residual</t>
  </si>
  <si>
    <t>Control 1</t>
  </si>
  <si>
    <t>Control 2</t>
  </si>
  <si>
    <t>Control 3</t>
  </si>
  <si>
    <t>Control 4</t>
  </si>
  <si>
    <t>Control 5</t>
  </si>
  <si>
    <t>Control 6</t>
  </si>
  <si>
    <t>Control 7</t>
  </si>
  <si>
    <t>Control 8</t>
  </si>
  <si>
    <t>Control 9</t>
  </si>
  <si>
    <t>Control 10</t>
  </si>
  <si>
    <t>Control 11</t>
  </si>
  <si>
    <t>Control 12</t>
  </si>
  <si>
    <t>Criterio</t>
  </si>
  <si>
    <t>h. El Control es aceptable,  no es clave y no se cumple</t>
  </si>
  <si>
    <t>i. El Control es aceptable, no es clave y se cumple</t>
  </si>
  <si>
    <t>g. El Control es aceptable, es clave y no se cumple</t>
  </si>
  <si>
    <t>j. El Control es aceptable, es clave y se cumple</t>
  </si>
  <si>
    <t>f. El Control es efectivo, es clave y se cumple</t>
  </si>
  <si>
    <t>c. El Control es efectivo, es clave y no se cumple</t>
  </si>
  <si>
    <t>a. El Control No Aplica</t>
  </si>
  <si>
    <t>Proceso donde se puede materializar el Riesgo</t>
  </si>
  <si>
    <t>Cuestion Asociada</t>
  </si>
  <si>
    <t>Causas</t>
  </si>
  <si>
    <t>Tipo de Riesgo</t>
  </si>
  <si>
    <t>PLANEACION ESTRATEGICA.</t>
  </si>
  <si>
    <t>ELABORACION Y APROBACION PROYECTOS DE ACUERDO</t>
  </si>
  <si>
    <t>CONTROL POLITICO.</t>
  </si>
  <si>
    <t>GESTION JURIDICA</t>
  </si>
  <si>
    <t>GESTION ADMINISTRATIVA.</t>
  </si>
  <si>
    <t>GESTION RECURSO  HUMANO.</t>
  </si>
  <si>
    <t>GESTION FINANCIERA</t>
  </si>
  <si>
    <t>CONTROL INTERNO DISCIPLINARIO.</t>
  </si>
  <si>
    <t>GESTION DE COMUNICACIÓN.</t>
  </si>
  <si>
    <t>EVALUACION, SEGUIMIENTO Y CONTROL</t>
  </si>
  <si>
    <t>GESTION</t>
  </si>
  <si>
    <t>CORRUPCION</t>
  </si>
  <si>
    <t>SEGURIDAD DE LA INFORMACION</t>
  </si>
  <si>
    <t>FISCAL</t>
  </si>
  <si>
    <t>No</t>
  </si>
  <si>
    <t>Factor</t>
  </si>
  <si>
    <t>Cuestiones de interés</t>
  </si>
  <si>
    <t>Clasificación</t>
  </si>
  <si>
    <t xml:space="preserve">Limitado Recursos Presupuestales y no tener mecanismos de autofinanciacion. </t>
  </si>
  <si>
    <t>Exceso de tramites para las ordenes de pago.</t>
  </si>
  <si>
    <t>Recorte Presupuestales</t>
  </si>
  <si>
    <t>Falta de Autonomia financiera y de caja</t>
  </si>
  <si>
    <t>legal</t>
  </si>
  <si>
    <t>Desconocimiento Marco Normativo (cambios legislativos Constantes).</t>
  </si>
  <si>
    <t>Social</t>
  </si>
  <si>
    <t>Inconformidad de Grupos Poblacionales</t>
  </si>
  <si>
    <t>tecnológicos</t>
  </si>
  <si>
    <t>Violación de la seguridad informática de los canales de comunicación de la entidad.</t>
  </si>
  <si>
    <t>Generacion de Actos de corrupcion.</t>
  </si>
  <si>
    <t>Tecnológicos</t>
  </si>
  <si>
    <t>Cambios Constantes en la Tecnología</t>
  </si>
  <si>
    <t>Ambientales</t>
  </si>
  <si>
    <t>Afectaciones Generadas por enfermedades de salud pública</t>
  </si>
  <si>
    <t>Políticas Amigables Ambientales (Plan de Acción de plasticos de un solo uso - Reducción de consumo de papel - Manejo de Residuos)</t>
  </si>
  <si>
    <t>Legal</t>
  </si>
  <si>
    <t>Exceso Normativo</t>
  </si>
  <si>
    <t>Infraestructura</t>
  </si>
  <si>
    <t>Estructura fisica deficiente.</t>
  </si>
  <si>
    <t>Recurso Humano</t>
  </si>
  <si>
    <t>Alta rotacion de personal que lideran procesos misionales y estrategicos.</t>
  </si>
  <si>
    <t>Logística</t>
  </si>
  <si>
    <t>Control de Inventarios</t>
  </si>
  <si>
    <t>Tecnologicos.</t>
  </si>
  <si>
    <t>Carencia de elementos de tipo tecnologico que apoyen las actividades administrativas de la entidad.</t>
  </si>
  <si>
    <t>riesgo</t>
  </si>
  <si>
    <t>Político</t>
  </si>
  <si>
    <t>Apoyo politico de la administracion central a la entidad.</t>
  </si>
  <si>
    <t>Oportunidad</t>
  </si>
  <si>
    <t>Exelentes relaciones con otras entidades del sector, (concejos).</t>
  </si>
  <si>
    <t>Articulación en las Políticas Públicas</t>
  </si>
  <si>
    <t>Posibilidad de entablar y realizar convenios y acuerdos de cooperacion con otras entidades.</t>
  </si>
  <si>
    <t>Pagos al  dia de obligaciones.</t>
  </si>
  <si>
    <t>Manifestación de Eventos Culturales</t>
  </si>
  <si>
    <t>Apoyo interinstitucional para traslado de la sede del Concejo.</t>
  </si>
  <si>
    <t>Baja rotación de personal. Funcionarios en Carrera administrativa.</t>
  </si>
  <si>
    <t>Clima Organizacional</t>
  </si>
  <si>
    <t>social</t>
  </si>
  <si>
    <t>Capacitación del Personal y programas de capacitacion.</t>
  </si>
  <si>
    <t>Tecnológica</t>
  </si>
  <si>
    <t>Fortalecimiento de la capacidad tecnologica y avances en tics</t>
  </si>
  <si>
    <t>Mejoramiento de la Imagen Institucional.</t>
  </si>
  <si>
    <t>Herramientas para monitoreo y control de PQRS.</t>
  </si>
  <si>
    <t>CUESTIONES ASOCIADAS CONCEJO DISTRITAL DE BARRANQUILLA.</t>
  </si>
  <si>
    <t>Seguimiento y Monitoreo</t>
  </si>
  <si>
    <t>Acciones Realizadas</t>
  </si>
  <si>
    <t>Los Controles han sido eficaces</t>
  </si>
  <si>
    <t>Se Marerializó el Riesgo</t>
  </si>
  <si>
    <t>Observacuiones - Recomendaciones</t>
  </si>
  <si>
    <t>SI</t>
  </si>
  <si>
    <t>NO</t>
  </si>
  <si>
    <t>Consecuencias</t>
  </si>
  <si>
    <t>Posibilidad de incumplimiento en la construcción y en la presentación de informes de seguimiento a los planes de acción por debilidad  en la calidad de la información presentada por las diferentes dependencias.</t>
  </si>
  <si>
    <t>Entrega  incompleta y a destiempo  de la información por parte de las diferentes dependencias del Concejo Distrital.</t>
  </si>
  <si>
    <t>Mucha rotación de personal que impide mantener la continuidad del proceso.</t>
  </si>
  <si>
    <t xml:space="preserve">Funcionamiento no adecuado de la Entidad.      </t>
  </si>
  <si>
    <t>Presentación inoportuna de lo informes en los terminos establecidos por la ley.</t>
  </si>
  <si>
    <t>Desconocimiento del marco legal y reglamentario de esta entidad.(normograma).</t>
  </si>
  <si>
    <t xml:space="preserve">Solicitar a cada una de las dependencias la designaciòn de personal, para que sea capacitado en las diferentes herramientas, que permita establecer la continuidad del metodo de recolecciòn de la informaciòn y su entrega de a tiempo para la construcción del informe del seguimiento del Plan Estratégico.  </t>
  </si>
  <si>
    <t>El profesional  de Control Interno realiza seguimiento semestral al cumplimiento de los planes de acción de cada área, incluyendo cumplimiento de metas  y  la  ejecución  de  los  recursos presupuestados, controla el nivel de cumplimiento de las metas establecidas en los planes de acción dejando como evidencia informe de Auditoría de cumplimiento de los planes de acción presentado a la Alta Dirección</t>
  </si>
  <si>
    <t>Asignación baja de presupuesto para las publicaciones en diferentes medios de comunicación</t>
  </si>
  <si>
    <t>Desinformación de la comunidad.</t>
  </si>
  <si>
    <t>Poca participación ciudadana en las actividades de la institución</t>
  </si>
  <si>
    <t>Posibilidad de pérdida reputacional por quejas de los grupos de valor internos y externos debido a publicación inoportuna o insuficientes de información sobre la gestión de la entidad, imposibilidad de acceso a la red social (pérdida de claves, fallas tecnológicas)</t>
  </si>
  <si>
    <t>El enlace de las TIC es el encargado de la administración la pagina web, las redes sociales y revisa la seguridad de la red y frente al uso de redes inseguras externas da prelación al uso de datos personales con el fin de mantener la integridad de la información y publicar de manera oportuna la información que dan cuenta de la gestión institucional.</t>
  </si>
  <si>
    <t>Solicitar apoyo a la administracion central a fin de que apoyen y fortalezcan los canales de comunicación Internos y Externos.</t>
  </si>
  <si>
    <t>Posibilidad de ataque Cibernetico en sistemas de información de los procesos de la entidad</t>
  </si>
  <si>
    <t>Debilidad en los protocolos de seguridad informatica de la entidad</t>
  </si>
  <si>
    <t>Filtración y pérdida de información, afectación en los registros de los procesos; inconsistencia en el reporte de la información a las partes interesadas.</t>
  </si>
  <si>
    <t>Realizar revisión a los discos duros y de los aplicativos como antivirus, limpieza de archivos temporales y amanezas de internet dejando como evidencia el mantenimiento preventivos, correctivos.</t>
  </si>
  <si>
    <t>Imposibilidad de transmitir a la comunicad las actividades y la informacion propida de la entidad por medio de los canales de comuicacion  oficiales de la entidad.</t>
  </si>
  <si>
    <t>Posibilidad de ocultar a la ciudadania información considerada pública</t>
  </si>
  <si>
    <t>Perdida de interes por parte de la población hacia la información</t>
  </si>
  <si>
    <t xml:space="preserve">Bajo impacto en las publicaciones  </t>
  </si>
  <si>
    <t>Verificación en auditoría interna del cumplimiento de la ley de transparencia y aceso a la  informacion publica.</t>
  </si>
  <si>
    <t>Posibilidad de incumplimiento de las políticas, planes, programas y proyectos formulados y adoptados por la entidad en el Plan Estratégico.</t>
  </si>
  <si>
    <t>Descoordinacion entre la alta dirección y los líderes de procesos para la confección del plan de Estratégico de la entidad.</t>
  </si>
  <si>
    <t>Toma de decisiones basada en información inoportuna y poco confiable.</t>
  </si>
  <si>
    <t>Observaciones formuladas por los entes de control por incumplimiento</t>
  </si>
  <si>
    <t>Falta de seguimientos por parte de los lideres de proceso de los planes, programas y proyectos.</t>
  </si>
  <si>
    <t>Verificación de la elaboración, adopción y realización del Plan y  del establecimiento de las estrategias institucionales.</t>
  </si>
  <si>
    <t xml:space="preserve">Codigo: </t>
  </si>
  <si>
    <t>ESC-F-13</t>
  </si>
  <si>
    <t>Versión</t>
  </si>
  <si>
    <t>Fecha Aprobacion:</t>
  </si>
  <si>
    <t>MAPA DE RIESGOS - PROCESOS ESTRATEGICOS</t>
  </si>
  <si>
    <t>N/A</t>
  </si>
  <si>
    <t>Durante la vigencia no se confeccionaron Acciones correctivas en plan de Mejoramiento,</t>
  </si>
  <si>
    <t>Verificacion de adopcion de Plan Estrategico, y indicadores de cumplimiento de Metas de Plan de Acción Institucional.</t>
  </si>
  <si>
    <t>Durante el periodo, se verifico el monitoreo y segumiento a los planes de Accion Institucional, de cada uno de los procesos.</t>
  </si>
  <si>
    <t xml:space="preserve"> </t>
  </si>
  <si>
    <t>Elaboracion y difusion de comunicados de Prensa, publicacion en Pagina web y en redes sociales de manera simultanea a su ocurrencia, de todas las noticias y actividades que se desarrollan en este concejo</t>
  </si>
  <si>
    <t>Partiipacion Ciudadana, en el chat de nuestro canal de youtube institucional el cual se activa al momento de transmitir nuestras actividades Misionales.</t>
  </si>
  <si>
    <t>Durante la vigencia se realizaron mantenimientos a los equipos de computo, a fin de mantener actualizados los antivirus.</t>
  </si>
  <si>
    <t>Se verifico por parte del contratista encargado, la debida transmision en vivo por medio de la plataforma youtube de toda nuestra actividad</t>
  </si>
  <si>
    <t>Se veriifico en auditoria interna la implementacion del enlace de Transparencia y Acceso a la informacion publica en nuestra pagina web, y por medio de la cual se realizo toda la difusion de la información institucional de la entidad.</t>
  </si>
  <si>
    <t>Verificacion de la satisfaccion por parte de nuestros usuarios de la prestacion de nuestro servicio.</t>
  </si>
  <si>
    <t>Verficacion en la medicion de satisfaccion, el indicador de cumplimiento si esta satisfecho con nuestra gestion institucional.</t>
  </si>
  <si>
    <t>Poco control y seguimiento a las publicaciones del Concejo Distrital.</t>
  </si>
  <si>
    <t xml:space="preserve">Falta de un protocolo claro para establecer las actividades,responsabilidades y seguimientos para darle respuesta de PQRSD.
Falta de direccionamiento correcto de las PQRSD
</t>
  </si>
  <si>
    <t>Posibilidad de incumplir las respuestas oportunas y de fondo como lo establece la ley 1755 de 2015 para dar respuessta de derecho de peticion dentro los terminos legales</t>
  </si>
  <si>
    <t xml:space="preserve">Investigaciones de tipo Disciplinario por parte de entes de control </t>
  </si>
  <si>
    <t xml:space="preserve">Establecimiento de un sistema de Gestion Documental que alerte al funcionario encargado de la resolución del derecho de petición para dar respuesta oportuna a este. </t>
  </si>
  <si>
    <t>Verificacion de cumplimiento de elaboracion del formato de control de PQRS.</t>
  </si>
  <si>
    <t>Insatisfacción y queja de la comunidad y usuarios por no dar respuesta oportuna.</t>
  </si>
  <si>
    <t xml:space="preserve">Seguimiento al formato de Semaforo de vencimiento de PQRSD  para que se genere la respuesta dentro de los tiempos establecidos </t>
  </si>
  <si>
    <t>Verificacion del cumplimiento de los terminos de vencimineto en el formato de control mediante el sistema de semaforo.</t>
  </si>
  <si>
    <t>El área de jurídica destina un correo institucional para el envío de respuesta a los peticionarios, dejando trazabilidad de proceso mediante el correo enviado.</t>
  </si>
  <si>
    <t>establecimiento del correo institucional administrado por el Asesor Juridico de la entidad, y desde el cual son enviados las respueas de los PQRS que son radicados en esta dependencia.</t>
  </si>
  <si>
    <t>No abocamiento en debido término  de la demanda y/o tutela, con fines de obtener un interes a la parte demandante.</t>
  </si>
  <si>
    <t>Posibilidad de Vencimiento de términos de los procesos judiciales que adelanta la Institución producto de la inoportunidad en la atención permanente de los procesos judiciales notificados.</t>
  </si>
  <si>
    <t>Fallos en contra del CDB.</t>
  </si>
  <si>
    <t>Verificacion de cumplimieno de abocamiento y atencion en debida  forma a las diferentes demandas radicadas a la entidad.</t>
  </si>
  <si>
    <t>Revisión de la debida atencion a ternimo de las diferentes acciones judiciales que son radicadas en la entidad.</t>
  </si>
  <si>
    <t>La demora en la entrega  de los soportes necesarios oportunamente por parte de las dependencias responsables de la remisión de la información en los tiempos que se requieran.</t>
  </si>
  <si>
    <t xml:space="preserve"> Accciones de repeticion.</t>
  </si>
  <si>
    <t>Realizar seguimiento oportuno a los diferentes requerimientos hechos a las diferentes dependencias del suministro de la informacion necesaria para la contestación  de las diferentes demandas judiciales o acciones legales.</t>
  </si>
  <si>
    <t>Verificar el cumplimiento de respuesta de las otras areas a la dependencia de Juridica a fin de obtener el insumo necesario para la contestacion de las demandas y tutelas.</t>
  </si>
  <si>
    <t>Seguimiento al formato de Semaforo de vencimiento de Tutelas y demandas</t>
  </si>
  <si>
    <t>verificacion del semaforo de cumplimiento de las respuestas de tutela y demandas</t>
  </si>
  <si>
    <t xml:space="preserve"> Falta de Aplicación de las normas establecidas por el AGN. </t>
  </si>
  <si>
    <t>Posibilidad de deterioro y perdida de los documentos y archivos de gestión e históricos.</t>
  </si>
  <si>
    <t>Perdida de la memoria historica de la Entidad.</t>
  </si>
  <si>
    <t>Revision en auditoria interna y especial de la aplicación de la ley de archivo dentro de la entidad.</t>
  </si>
  <si>
    <t>Verificacion de adopcion del Pinar Institucional y operatividad de tablas de retencion Documental.</t>
  </si>
  <si>
    <t>Inadecuada infraestructura del area de archivo.</t>
  </si>
  <si>
    <t>Hallazgos de organismos de control externos</t>
  </si>
  <si>
    <t>Solicitud para el mejoramiento de la seguridad y de las condiciones ambientales (Humedad - temperatura) dentro de las instalaciones de archivos de la entidad.</t>
  </si>
  <si>
    <t>Realizar las actividades enfocadas a la optimizacion del archivo central de la entidad.</t>
  </si>
  <si>
    <t xml:space="preserve">Estudios previos  no ajustados  a las normatividades vigentes y el tipo  de contratacion a realizarse.   
</t>
  </si>
  <si>
    <t>Posibilidad de adelantar procesos contractuales con una planeación, adquisición y liquidación de bienes y servicios fuera de los requerimientos normativos de acuerdo a las modalidad de contratación y el lleno de requisitos legales.</t>
  </si>
  <si>
    <t xml:space="preserve">Incumplimiento de metas y propósitos institucionales. </t>
  </si>
  <si>
    <t>El profesional verifica que las propuestas presentadas cumplan con los requisitos de orden jurídico y coordinará con las áreas responsables los requisitos técnicos y económicos con el fin de comunicar la aceptación de la oferta y verifica los estudios previos emitido que presenta la necesidad cumpla con los requisitos normativos dejando como evidencia el contrato firmado.</t>
  </si>
  <si>
    <t>verificacion de cumplmiento de elaboracion de estudios previos y analisis del sector en cada proceso contractual.</t>
  </si>
  <si>
    <t>Falta  de analisis y verificación de los requisitos exigentes según el tipo de contrato a celebrarse.</t>
  </si>
  <si>
    <t>Investigaciones o sanciones  Disciplinarias</t>
  </si>
  <si>
    <t>El profesional del área de contratos verifica que la información suministrada por el proveedor o contratista corresponda con los requisitos establecidos de contratación según la modalidad de contratación a través de una lista de chequeo donde están los requisitos mínimos habilitantes y la revisión con la información física suministrada por el proveedor y/o contratista, se realiza verificación de antecedentes y veracidad de la información suministrada, los contratos que cumplen son registrados en el sistema de información de contratación, se encuentra documentado en el procedimiento de contratación directa.</t>
  </si>
  <si>
    <t>Lista de chequeo Documental del cumplimiento de los requisitos habilitantes para la elaboración de los procesos Contractuales de la entidad.</t>
  </si>
  <si>
    <t>El profesional especializado de contratación liquida los contratos que de acuerdo a la ley sean suseptibles de liquidación dentro del tiempo otorgado y que hayan cumplido el objeto contractual dejando como evidencia acta de liquidación.</t>
  </si>
  <si>
    <t xml:space="preserve">Revision de la debida liquidacion y cierre en secop II del proceso contractual. </t>
  </si>
  <si>
    <t>Falta de ejecución de Mantenimientos periodicos a los equipos de Computo.</t>
  </si>
  <si>
    <t>Posibilidad de Pérdida de la informacion por daño de los equipos de Computo.</t>
  </si>
  <si>
    <t>Retraso en las labores de la Entidad</t>
  </si>
  <si>
    <t>Programar y realizar mantenimiento periodico a los equipos de computo y realizar seguimiento a la ejecución de los mantenimientos preventivos y correctivos del hardware y software institucional.</t>
  </si>
  <si>
    <t>Verficacion de cumplimiento de cronograma de mantenimiento de equipos de computo.</t>
  </si>
  <si>
    <t>Ausencia de copias de seguridad (Backups) actualizadas en dispositivos de almacenamiento externo.</t>
  </si>
  <si>
    <t>Ejecución y resguardo de backup de los equipos en un medio extraible de forma periodica.</t>
  </si>
  <si>
    <t>verficacion de cumplmimiento de ejecucion de Back UP institucional</t>
  </si>
  <si>
    <t>Incuplimiento de la norma aplicable</t>
  </si>
  <si>
    <t>Posibilidad de la manipulacion o perdida de la información que compone en procedimiento de inventarios de bienes, muebles e inmuebles recibidos por la entidad debido a la mala ejecucion de los inventarios y  la desactualización del Inventario de equipos, Bienes Muebles e Inmuebles del Concejo Distrital de Barranquilla.</t>
  </si>
  <si>
    <t xml:space="preserve"> Perdida de los equipos, bienes, muebles e inmuebles . </t>
  </si>
  <si>
    <t xml:space="preserve">Realizar Inventarios anuales para llevar control de todo lo que se maneja.  </t>
  </si>
  <si>
    <t>Verificacion de existencia y actualizacion de formato de inventario de Bienes de la entidad.</t>
  </si>
  <si>
    <t>Hallazgos administrativos por parte de los entes de control</t>
  </si>
  <si>
    <t>Conciliación de las depreciaciones de los bienes, propiedad, planta y equipo. .</t>
  </si>
  <si>
    <t>Segumiento a la aplicación de  las normas contables y financieras en el proceso de depreciacion de bienes Muebles.</t>
  </si>
  <si>
    <t xml:space="preserve">Falta de conocimiento y compromiso por parte de los evaluados y evaluadores de la entidad.
</t>
  </si>
  <si>
    <t xml:space="preserve">Posibilidad de incumplir la realización y  evaluación del desempeño laboral en el aplicativo establecido por  la comisión nacional del servicio civil </t>
  </si>
  <si>
    <t>Demandas administrativas por parte de los funcionarios publicos ante el incumplimiento de la entidad al no realizar las evaluaciones de desempeño laboral.</t>
  </si>
  <si>
    <t>El profesional de talento humano envia las alertas sobre la realización de la evaluación del desempeño constantemente a los correos de los líderes de la dependencias.</t>
  </si>
  <si>
    <t>Vverificacion del soporte arrojado por la plataforma EDL la cual da constancia de la evaluacion del Desempeño laboral de los funcionarios</t>
  </si>
  <si>
    <t>Novedades presentadas por el aplicativo EDL de la Comisión Nacional del Servicio Civil en relación a la operatividad del mismo.</t>
  </si>
  <si>
    <t>Seguimiento inadecuado del desempeño y no fijación de compromisos del líder hacia el servidor evaluado.</t>
  </si>
  <si>
    <t>El profesional de talento humano envia a control disciplinario  los funcionarios que no están cumplimiento con el desarrollo de las activiaddes de evaluación del desempeño a través de oficio y el correo institucional.</t>
  </si>
  <si>
    <t>No se han evidenciado omisiones en la debida presentacion de evaluacion del Desempeño por parte de los lideres de proceso que tienen empleados de Carrera a su cargo.</t>
  </si>
  <si>
    <t xml:space="preserve">Incumplimiento del cronograma de capacitación y los lineamientos de inducción y reinducción.
</t>
  </si>
  <si>
    <t>Posibilidad de incumplimiento de situaciones administrativas y desempeño laboral por insuficiente desarrollo de las competencias y habilidades de los servidores públicos  debido a la no realización de las capacitaciones, inducciones y reinducciones.</t>
  </si>
  <si>
    <t>Desconocimiento de las funciones propias de cada funcionario vinculado, sanciones de ley y baja calificación en el índice de desempeño institucional.</t>
  </si>
  <si>
    <t>Identificación de manera adecuada de las necesidades de capacitación de cada dependencia con el fin de desarrollar el plan institucional de capacitaciones.</t>
  </si>
  <si>
    <t>Correcta ejecucion del plan de Capacitación, verificacion de cumplimiento de indicador de proceso GRH.</t>
  </si>
  <si>
    <t>Falta de diseño y ejecución del procedimiento de inducción y/o Reinduccion</t>
  </si>
  <si>
    <t>Deficiente desempeño laboral respecto al incumplimiento de funciones y objetivos por parte de cada uno de los funcionarios</t>
  </si>
  <si>
    <t>Realizar las Inducciones cuando se registre un ingreso de un nuevo servidor publico a la entidad y las Reinducciones según cambio de normatividad y segun PIC</t>
  </si>
  <si>
    <t>Cumplimiento del proceso de induccion y  reinduccion Institucional.</t>
  </si>
  <si>
    <t>Baja participación de los servidores públicos en las capacitaciones que se programan y ejecutan anualmente.</t>
  </si>
  <si>
    <t>No se Registran las operaciones contables oportunamente</t>
  </si>
  <si>
    <t>Posibilidad de incumplimiento en la presentación de los informes (financiero y  contable) en los términos legales a los debidos entes de control por no contar con la información en el tiempo oportuno.</t>
  </si>
  <si>
    <t>Entrega de estados contables e informes financieros y notas a los estados fuera  de las fechas establecidas de los terminos procedimientales y valores e información imprecisa e inexacta.</t>
  </si>
  <si>
    <t>Realizar seguimiento al cronograma, previo al vencimiento de la fecha de entrega de la información financiera y contable de entidad.</t>
  </si>
  <si>
    <t>Verficacion de constancia de entrega de la informacion financiera y contable de la entidad.</t>
  </si>
  <si>
    <t xml:space="preserve">Falta de oportunidad en los cierres financieros mensuales </t>
  </si>
  <si>
    <t>Incurir en sanciones y faltas disciplinarias para la entidad</t>
  </si>
  <si>
    <t>Revisar la información constantemente previo a la presentación de los informes financieros con el fin de evitar errores de digitación, extemporaneidad de tiempos de entrega y verificación de confiabilidad de la información</t>
  </si>
  <si>
    <t>Comprobacion de elaboracion de estados financieros y contables de la entidad y su respectiva comunicación ante las entidades interesadas.</t>
  </si>
  <si>
    <t>Políticas contables aplicables a la Entidad, que generen inconsistencias en la presentación de los hechos económicos en los estados financieros</t>
  </si>
  <si>
    <t xml:space="preserve">Falta de verificación de los soportes previo a la  realización de los pagos. </t>
  </si>
  <si>
    <t>Posibilidad del pago no oportuno de obligaciones adquiridas por la entidad por fallas en la planificación presupuestal o sin los debidos soportes</t>
  </si>
  <si>
    <t>Revisar los soportes mediante hoja de control antes de realizar  el pago</t>
  </si>
  <si>
    <t>Revisar la existencia de CDP  y RP en cada gasto ordenado por la Presidencia de la entidad.</t>
  </si>
  <si>
    <t>.</t>
  </si>
  <si>
    <t>Insatisfacción de los proveedores de bienes y servicios</t>
  </si>
  <si>
    <t xml:space="preserve"> Informe de supervisión</t>
  </si>
  <si>
    <t>Verificacion de que las Ordenes de transfencia cuenten con todas los soportes que ordena el marco legal para su debido pago.</t>
  </si>
  <si>
    <t>d</t>
  </si>
  <si>
    <t>Posivilidad de no dar al proyecto de acuerdo el tramite correspondiente</t>
  </si>
  <si>
    <t>Nulidad por vicios procedimentales del proyecto de acuerdo.</t>
  </si>
  <si>
    <t>Seguimiento y verificación del cumplimiento de los términos entre cada uno de los debates establecido por el reglamento.</t>
  </si>
  <si>
    <t>Verificacion de no generacion de nulidades asociadas a la creacion de los acuerdos distritales.</t>
  </si>
  <si>
    <t xml:space="preserve">N/A </t>
  </si>
  <si>
    <t>Proyecto de acuerdo que no se sanciona por parte del alcalde.</t>
  </si>
  <si>
    <t>verificacion de no generacion de producto no conforme.</t>
  </si>
  <si>
    <t>Verificacion en auditoria la no generacion de productos no conformes en relacion a la elaboracion  y aprobacion de acuerdos en la entidad.</t>
  </si>
  <si>
    <t>Deficiente planeación de las actividades ocasionado porque no se respeta el tiempo establecido entre el estudio del proyecto en la comisión y la sesión Plenaria del proyecto.</t>
  </si>
  <si>
    <t xml:space="preserve">Posibilidad de presentar incumplimiento del término entre el estudio del proyecto en Comisión y en la Sesion. </t>
  </si>
  <si>
    <t>Verificacion en auditoria interna de gestion del cumplimineto del tiempo entre comisiony se sesion para la elaboracion del acuerdo.</t>
  </si>
  <si>
    <t>Poca planeacion de los concejales y otros actores.</t>
  </si>
  <si>
    <t>Posibilidad de presentar los proyectos de acuerdo al limite del cierre del periodo de sesiones</t>
  </si>
  <si>
    <t>Proyectos de Acuerdo presentados casi al finalizar los periodos de sesiones (Ordinaria y Extraordinaria), lo cual evita que se puedan cumplir con el tiempo reglamentario para su trámite en Comisión y en Plenaria.</t>
  </si>
  <si>
    <t xml:space="preserve">Verificacion al momento de fijar las fechas del debate la existencia de tiempo suficiente para el desarrollo de las etapas del debate </t>
  </si>
  <si>
    <t>Verificacion de no archivo de proyectos que no se pudieron tramitar por falta de tiempo para su aprobacion</t>
  </si>
  <si>
    <t>Falta de planeacion en el momento de la elaboracion de las citaciones. Desconocimiento del Normograma.</t>
  </si>
  <si>
    <t>Posibilidad de realizar la citación sin cumplimiento de los términos Reglamentarios.</t>
  </si>
  <si>
    <t>Inasistencia de los Citados.</t>
  </si>
  <si>
    <t>Control de calidad realizado a la citación con el fin de verificar el cumplimiento de lo términos reglamentarios para su realización .</t>
  </si>
  <si>
    <t>Verificacion de cumplimiento proceso CPO.</t>
  </si>
  <si>
    <t>Desconocimiento del Marco Regulatorio</t>
  </si>
  <si>
    <t>Indebida notificación de la citación.</t>
  </si>
  <si>
    <t>Posibilidad de incumplimiento a la citaciones de Control Politico.</t>
  </si>
  <si>
    <t>Imposibilidad de la  realización de el ejercicio de Control Politico.</t>
  </si>
  <si>
    <t>Seguimiento al aviso de citación a fin de establecer la debida notificación del mismo</t>
  </si>
  <si>
    <t>Revision del proceso de aprobacion de la proposicion de control politico y del envio de la citacion.</t>
  </si>
  <si>
    <t>Los Concejales evitan darle  tramite a las proposiones de Control Politico con la finalidad de obviar situaciones cuestionables de algun sujeto de Control por parte de esta entidad.</t>
  </si>
  <si>
    <t xml:space="preserve">Falta de programacion en el cumplimiento del cronograma de auditoria.  </t>
  </si>
  <si>
    <t xml:space="preserve"> Inadecuado Seguimiento y Evaluación de la Gestión Institucional</t>
  </si>
  <si>
    <t>No poder realizar la verificiacion del cumplimiento de los procesos de la entidad</t>
  </si>
  <si>
    <t>Verificacion y Cumplimiento del programa de auditorias.</t>
  </si>
  <si>
    <t>verificacion de cumplimiento de programa de auditorias interno.</t>
  </si>
  <si>
    <t>Falta de disponibilidad de tiempo por parte de los funcionarios para atención de visitas del equipo auditor..</t>
  </si>
  <si>
    <t>No contar con un SCI fortalecido</t>
  </si>
  <si>
    <t>Informes de auditorias de gestion</t>
  </si>
  <si>
    <t>cumplimiento de indicadore de proceso de ESC.</t>
  </si>
  <si>
    <t xml:space="preserve">Inoportunidad en la entrega de información por parte de las oficinas responsables de la misma en los términos establecidos por la oficina  de control interno. </t>
  </si>
  <si>
    <t xml:space="preserve">Posibilidad de presentación extemporánea de informes de Ley y de información requerida a los órganos externos de control como producto de la inoportunidad de la entrega de información requerida a las diferentes áreas de la entidad. </t>
  </si>
  <si>
    <t>Incumplimiento de tipo legal o reglamentarios</t>
  </si>
  <si>
    <t xml:space="preserve">Procedimiento de Auditorias Internas; en el cual se establecen las fechas de los informes a entregar y su cronograma de Informes. </t>
  </si>
  <si>
    <t>Remision y entrega de los informes de auditoria interna de la entidad.</t>
  </si>
  <si>
    <t>Demora en la entrega a la Oficina de Control Interno, del requerimiento efectuado por el organo externo de control.</t>
  </si>
  <si>
    <t>Falta de eficacia del Sistema de Control Interno</t>
  </si>
  <si>
    <t>Verificacion y cumplimineto de los requerimientos formulados por los organismos de control y otras entidades.</t>
  </si>
  <si>
    <t>Verficacion de radicacion de informe furag y informe de rendicion de Cuentas.</t>
  </si>
  <si>
    <t xml:space="preserve">Continuar estableciendo plazos internos a las dependencias responsables de la información requerida por los organos externos de control, revisando y llevando control de cada una de las solicitudes de información requeridas, precisando los términos que se tienen para suministrarla </t>
  </si>
  <si>
    <t>Radicacion de informacion relacionada a nuestra gestion Institucional en la Plataforma SIA de la auditoria General de la Republica,</t>
  </si>
  <si>
    <t>No se cuenta con el personal de apoyo necesario para regular en la entrega de documentos, citaciones, respuestas, solicitude.</t>
  </si>
  <si>
    <t>Posibilidad de incumplimiento de los términos en la Ley en los procesos disciplinarios</t>
  </si>
  <si>
    <t>Impunidad de la acción Disciplinable</t>
  </si>
  <si>
    <t>El Profesional abre las acciones disciplinarias procedentes en concordancia con la normtividad vigente quedando como evidencia los expedientes contractuales.</t>
  </si>
  <si>
    <t>En caso de que se llegaren a aperturar procesos disciplinarios, el profesional que realiza el seguimiento del proceso disciplinario, es encargado de velar por el cumplimiento de los ternimos procesales establecidos para este</t>
  </si>
  <si>
    <t>Revision en auditoria de los procesos  disciplinarios.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</si>
</sst>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7"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1"/>
      <color theme="1"/>
      <name val="Calibri"/>
      <family val="2"/>
      <scheme val="minor"/>
    </font>
    <font>
      <b/>
      <sz val="16"/>
      <color rgb="FFFF0000"/>
      <name val="Calibri"/>
      <family val="2"/>
      <scheme val="minor"/>
    </font>
    <font>
      <sz val="10"/>
      <color rgb="FFFF0000"/>
      <name val="Arial"/>
      <family val="2"/>
    </font>
    <font>
      <sz val="11"/>
      <color rgb="FF0000FF"/>
      <name val="Arial"/>
      <family val="2"/>
    </font>
    <font>
      <sz val="10"/>
      <color theme="1"/>
      <name val="Arial"/>
      <family val="2"/>
    </font>
    <font>
      <sz val="10"/>
      <color rgb="FFC00000"/>
      <name val="Arial"/>
      <family val="2"/>
    </font>
    <font>
      <b/>
      <sz val="12"/>
      <color theme="1"/>
      <name val="Arial Narrow"/>
      <family val="2"/>
    </font>
    <font>
      <sz val="12"/>
      <color rgb="FF000000"/>
      <name val="Arial"/>
      <family val="2"/>
    </font>
    <font>
      <b/>
      <sz val="9"/>
      <color rgb="FF000000"/>
      <name val="Calibri"/>
      <family val="2"/>
    </font>
    <font>
      <b/>
      <sz val="11"/>
      <color rgb="FF000000"/>
      <name val="Calibri"/>
      <family val="2"/>
    </font>
    <font>
      <sz val="9"/>
      <color rgb="FF000000"/>
      <name val="Calibri"/>
      <family val="2"/>
    </font>
    <font>
      <sz val="11"/>
      <color rgb="FF000000"/>
      <name val="Calibri"/>
      <family val="2"/>
    </font>
    <font>
      <b/>
      <sz val="15"/>
      <color rgb="FF000000"/>
      <name val="Calibri"/>
      <family val="2"/>
    </font>
    <font>
      <sz val="11"/>
      <color theme="1"/>
      <name val="Arial"/>
      <family val="2"/>
    </font>
    <font>
      <sz val="11"/>
      <name val="Arial"/>
      <family val="2"/>
    </font>
    <font>
      <b/>
      <sz val="11"/>
      <color theme="1"/>
      <name val="Arial"/>
      <family val="2"/>
    </font>
    <font>
      <sz val="10"/>
      <color theme="1"/>
      <name val="Calibri"/>
      <family val="2"/>
    </font>
    <font>
      <sz val="11"/>
      <color theme="1"/>
      <name val="Calibri"/>
      <family val="2"/>
    </font>
    <font>
      <sz val="10"/>
      <color theme="1"/>
      <name val="Arial Narrow"/>
      <family val="2"/>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FF"/>
        <bgColor rgb="FFFFFFFF"/>
      </patternFill>
    </fill>
    <fill>
      <patternFill patternType="solid">
        <fgColor rgb="FFBFBFBF"/>
        <bgColor rgb="FFBFBFBF"/>
      </patternFill>
    </fill>
    <fill>
      <patternFill patternType="solid">
        <fgColor theme="4" tint="0.79998168889431442"/>
        <bgColor rgb="FFBFBFBF"/>
      </patternFill>
    </fill>
    <fill>
      <patternFill patternType="solid">
        <fgColor theme="4" tint="0.79998168889431442"/>
        <bgColor rgb="FFFFFFFF"/>
      </patternFill>
    </fill>
    <fill>
      <patternFill patternType="solid">
        <fgColor theme="0"/>
        <bgColor rgb="FFCCFFCC"/>
      </patternFill>
    </fill>
    <fill>
      <patternFill patternType="solid">
        <fgColor theme="9" tint="0.79998168889431442"/>
        <bgColor rgb="FFFFFFFF"/>
      </patternFill>
    </fill>
    <fill>
      <patternFill patternType="solid">
        <fgColor theme="9" tint="0.79998168889431442"/>
        <bgColor rgb="FFFFFF00"/>
      </patternFill>
    </fill>
    <fill>
      <patternFill patternType="solid">
        <fgColor theme="3" tint="0.79998168889431442"/>
        <bgColor indexed="64"/>
      </patternFill>
    </fill>
    <fill>
      <patternFill patternType="solid">
        <fgColor theme="4" tint="0.79998168889431442"/>
        <bgColor indexed="64"/>
      </patternFill>
    </fill>
  </fills>
  <borders count="8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dashed">
        <color theme="9"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rgb="FFFFFFFF"/>
      </left>
      <right style="thin">
        <color rgb="FFFFFFFF"/>
      </right>
      <top style="thin">
        <color rgb="FFFFFFFF"/>
      </top>
      <bottom/>
      <diagonal/>
    </border>
    <border>
      <left style="thin">
        <color rgb="FFD8D8D8"/>
      </left>
      <right style="thin">
        <color rgb="FFD8D8D8"/>
      </right>
      <top style="thin">
        <color rgb="FFD8D8D8"/>
      </top>
      <bottom style="thin">
        <color rgb="FFD8D8D8"/>
      </bottom>
      <diagonal/>
    </border>
    <border>
      <left style="thin">
        <color rgb="FFD8D8D8"/>
      </left>
      <right style="thin">
        <color rgb="FFD8D8D8"/>
      </right>
      <top/>
      <bottom/>
      <diagonal/>
    </border>
    <border>
      <left/>
      <right/>
      <top/>
      <bottom style="thin">
        <color rgb="FFFFFFFF"/>
      </bottom>
      <diagonal/>
    </border>
    <border>
      <left style="dashed">
        <color theme="9" tint="-0.24994659260841701"/>
      </left>
      <right/>
      <top style="dashed">
        <color theme="9" tint="-0.24994659260841701"/>
      </top>
      <bottom/>
      <diagonal/>
    </border>
    <border>
      <left/>
      <right style="dashed">
        <color theme="9" tint="-0.24994659260841701"/>
      </right>
      <top style="dashed">
        <color theme="9" tint="-0.24994659260841701"/>
      </top>
      <bottom/>
      <diagonal/>
    </border>
    <border>
      <left style="dashed">
        <color theme="9" tint="-0.24994659260841701"/>
      </left>
      <right style="dashed">
        <color theme="9" tint="-0.24994659260841701"/>
      </right>
      <top style="thin">
        <color indexed="64"/>
      </top>
      <bottom/>
      <diagonal/>
    </border>
    <border>
      <left style="dashed">
        <color theme="9" tint="-0.24994659260841701"/>
      </left>
      <right/>
      <top/>
      <bottom/>
      <diagonal/>
    </border>
    <border>
      <left style="thin">
        <color indexed="64"/>
      </left>
      <right style="dashed">
        <color theme="9" tint="-0.24994659260841701"/>
      </right>
      <top style="thin">
        <color indexed="64"/>
      </top>
      <bottom/>
      <diagonal/>
    </border>
    <border>
      <left style="dashed">
        <color theme="9" tint="-0.24994659260841701"/>
      </left>
      <right/>
      <top/>
      <bottom style="dashed">
        <color theme="9" tint="-0.24994659260841701"/>
      </bottom>
      <diagonal/>
    </border>
    <border>
      <left style="thin">
        <color indexed="64"/>
      </left>
      <right style="dashed">
        <color theme="9" tint="-0.24994659260841701"/>
      </right>
      <top/>
      <bottom style="dashed">
        <color theme="9" tint="-0.24994659260841701"/>
      </bottom>
      <diagonal/>
    </border>
  </borders>
  <cellStyleXfs count="5">
    <xf numFmtId="0" fontId="0" fillId="0" borderId="0"/>
    <xf numFmtId="9" fontId="14" fillId="0" borderId="0" applyFont="0" applyFill="0" applyBorder="0" applyAlignment="0" applyProtection="0"/>
    <xf numFmtId="0" fontId="47" fillId="0" borderId="0"/>
    <xf numFmtId="0" fontId="48" fillId="0" borderId="0"/>
    <xf numFmtId="0" fontId="5" fillId="0" borderId="0"/>
  </cellStyleXfs>
  <cellXfs count="50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9" xfId="0" applyFont="1" applyFill="1" applyBorder="1" applyAlignment="1">
      <alignment horizontal="center" vertical="center" wrapText="1" readingOrder="1"/>
    </xf>
    <xf numFmtId="0" fontId="10" fillId="0" borderId="9" xfId="0" applyFont="1" applyBorder="1" applyAlignment="1">
      <alignment horizontal="justify" vertical="center" wrapText="1" readingOrder="1"/>
    </xf>
    <xf numFmtId="9" fontId="10" fillId="0" borderId="9"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3" borderId="0" xfId="0" applyFont="1" applyFill="1" applyAlignment="1">
      <alignment horizontal="center" vertical="center"/>
    </xf>
    <xf numFmtId="0" fontId="1" fillId="3" borderId="0" xfId="0" applyFont="1" applyFill="1" applyAlignment="1">
      <alignmen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2"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9"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9"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9"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19" fillId="11" borderId="10"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1" borderId="11" xfId="0" applyFont="1" applyFill="1" applyBorder="1" applyAlignment="1" applyProtection="1">
      <alignment horizontal="center" vertical="center" wrapText="1" readingOrder="1"/>
      <protection hidden="1"/>
    </xf>
    <xf numFmtId="0" fontId="19" fillId="12" borderId="10"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2" borderId="11" xfId="0" applyFont="1" applyFill="1" applyBorder="1" applyAlignment="1" applyProtection="1">
      <alignment horizont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2" borderId="12" xfId="0" applyFont="1" applyFill="1" applyBorder="1" applyAlignment="1" applyProtection="1">
      <alignment horizontal="center" wrapText="1" readingOrder="1"/>
      <protection hidden="1"/>
    </xf>
    <xf numFmtId="0" fontId="19" fillId="12" borderId="0" xfId="0" applyFont="1" applyFill="1" applyAlignment="1" applyProtection="1">
      <alignment horizontal="center" wrapText="1" readingOrder="1"/>
      <protection hidden="1"/>
    </xf>
    <xf numFmtId="0" fontId="19" fillId="12" borderId="13" xfId="0" applyFont="1" applyFill="1" applyBorder="1" applyAlignment="1" applyProtection="1">
      <alignment horizont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3" borderId="10"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13" borderId="11"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0" xfId="0" applyFont="1" applyFill="1" applyAlignment="1" applyProtection="1">
      <alignment horizont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5" borderId="10"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19" fillId="5" borderId="11"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0" xfId="0" applyFont="1" applyFill="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23" fillId="13" borderId="17" xfId="0" applyFont="1" applyFill="1" applyBorder="1" applyAlignment="1" applyProtection="1">
      <alignment horizontal="center" wrapText="1" readingOrder="1"/>
      <protection hidden="1"/>
    </xf>
    <xf numFmtId="0" fontId="0" fillId="3" borderId="0" xfId="0" applyFill="1"/>
    <xf numFmtId="0" fontId="49" fillId="3" borderId="45" xfId="2" applyFont="1" applyFill="1" applyBorder="1"/>
    <xf numFmtId="0" fontId="49" fillId="3" borderId="46" xfId="2" applyFont="1" applyFill="1" applyBorder="1"/>
    <xf numFmtId="0" fontId="49" fillId="3" borderId="47" xfId="2" applyFont="1" applyFill="1" applyBorder="1"/>
    <xf numFmtId="0" fontId="16" fillId="3" borderId="0" xfId="0" applyFont="1" applyFill="1" applyAlignment="1">
      <alignment vertical="center"/>
    </xf>
    <xf numFmtId="0" fontId="5" fillId="3" borderId="0" xfId="0" applyFont="1" applyFill="1"/>
    <xf numFmtId="0" fontId="36" fillId="3" borderId="0" xfId="0" applyFont="1" applyFill="1"/>
    <xf numFmtId="0" fontId="37" fillId="3" borderId="28" xfId="0" applyFont="1" applyFill="1" applyBorder="1" applyAlignment="1">
      <alignment horizontal="center" vertical="center" wrapText="1" readingOrder="1"/>
    </xf>
    <xf numFmtId="0" fontId="38" fillId="3" borderId="28" xfId="0" applyFont="1" applyFill="1" applyBorder="1" applyAlignment="1">
      <alignment horizontal="justify" vertical="center" wrapText="1" readingOrder="1"/>
    </xf>
    <xf numFmtId="9" fontId="37" fillId="3" borderId="37" xfId="0" applyNumberFormat="1" applyFont="1" applyFill="1" applyBorder="1" applyAlignment="1">
      <alignment horizontal="center" vertical="center" wrapText="1" readingOrder="1"/>
    </xf>
    <xf numFmtId="0" fontId="37" fillId="3" borderId="27" xfId="0" applyFont="1" applyFill="1" applyBorder="1" applyAlignment="1">
      <alignment horizontal="center" vertical="center" wrapText="1" readingOrder="1"/>
    </xf>
    <xf numFmtId="0" fontId="38" fillId="3" borderId="27" xfId="0" applyFont="1" applyFill="1" applyBorder="1" applyAlignment="1">
      <alignment horizontal="justify" vertical="center" wrapText="1" readingOrder="1"/>
    </xf>
    <xf numFmtId="9" fontId="37" fillId="3" borderId="32" xfId="0" applyNumberFormat="1"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8" fillId="3" borderId="34" xfId="0" applyFont="1" applyFill="1" applyBorder="1" applyAlignment="1">
      <alignment horizontal="justify" vertical="center" wrapText="1" readingOrder="1"/>
    </xf>
    <xf numFmtId="0" fontId="38" fillId="3" borderId="35" xfId="0" applyFont="1" applyFill="1" applyBorder="1" applyAlignment="1">
      <alignment horizontal="center" vertical="center" wrapText="1" readingOrder="1"/>
    </xf>
    <xf numFmtId="0" fontId="46" fillId="3" borderId="0" xfId="0" applyFont="1" applyFill="1"/>
    <xf numFmtId="0" fontId="37" fillId="15" borderId="39" xfId="0" applyFont="1" applyFill="1" applyBorder="1" applyAlignment="1">
      <alignment horizontal="center" vertical="center" wrapText="1" readingOrder="1"/>
    </xf>
    <xf numFmtId="0" fontId="37" fillId="15" borderId="40" xfId="0" applyFont="1" applyFill="1" applyBorder="1" applyAlignment="1">
      <alignment horizontal="center" vertical="center" wrapText="1" readingOrder="1"/>
    </xf>
    <xf numFmtId="0" fontId="13" fillId="3" borderId="0" xfId="0" applyFont="1" applyFill="1"/>
    <xf numFmtId="0" fontId="31"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9" fillId="3" borderId="12" xfId="2" applyFont="1" applyFill="1" applyBorder="1"/>
    <xf numFmtId="0" fontId="54" fillId="3" borderId="0" xfId="0" applyFont="1" applyFill="1" applyAlignment="1">
      <alignment horizontal="left" vertical="center" wrapText="1"/>
    </xf>
    <xf numFmtId="0" fontId="55" fillId="3" borderId="0" xfId="0" applyFont="1" applyFill="1" applyAlignment="1">
      <alignment horizontal="left" vertical="top" wrapText="1"/>
    </xf>
    <xf numFmtId="0" fontId="49" fillId="3" borderId="0" xfId="2" applyFont="1" applyFill="1"/>
    <xf numFmtId="0" fontId="49" fillId="3" borderId="13" xfId="2" applyFont="1" applyFill="1" applyBorder="1"/>
    <xf numFmtId="0" fontId="49" fillId="3" borderId="14" xfId="2" applyFont="1" applyFill="1" applyBorder="1"/>
    <xf numFmtId="0" fontId="49" fillId="3" borderId="16" xfId="2" applyFont="1" applyFill="1" applyBorder="1"/>
    <xf numFmtId="0" fontId="49" fillId="3" borderId="15" xfId="2" applyFont="1" applyFill="1" applyBorder="1"/>
    <xf numFmtId="0" fontId="53"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1" fillId="3" borderId="12" xfId="2" quotePrefix="1" applyFont="1" applyFill="1" applyBorder="1" applyAlignment="1">
      <alignment horizontal="left" vertical="top" wrapText="1"/>
    </xf>
    <xf numFmtId="0" fontId="52" fillId="3" borderId="0" xfId="2" quotePrefix="1" applyFont="1" applyFill="1" applyAlignment="1">
      <alignment horizontal="left" vertical="top" wrapText="1"/>
    </xf>
    <xf numFmtId="0" fontId="52" fillId="3" borderId="13" xfId="2" quotePrefix="1" applyFont="1" applyFill="1" applyBorder="1" applyAlignment="1">
      <alignment horizontal="left" vertical="top" wrapText="1"/>
    </xf>
    <xf numFmtId="0" fontId="58" fillId="8" borderId="27" xfId="0" applyFont="1" applyFill="1" applyBorder="1" applyAlignment="1">
      <alignment horizontal="center" vertical="center" wrapText="1"/>
    </xf>
    <xf numFmtId="0" fontId="58" fillId="0" borderId="27" xfId="0" applyFont="1" applyBorder="1" applyAlignment="1">
      <alignment horizontal="center" vertical="center" wrapText="1"/>
    </xf>
    <xf numFmtId="0" fontId="58" fillId="0" borderId="27" xfId="0" applyFont="1" applyBorder="1" applyAlignment="1">
      <alignment horizontal="center" vertical="center" textRotation="90" wrapText="1"/>
    </xf>
    <xf numFmtId="0" fontId="60" fillId="0" borderId="69" xfId="0" applyFont="1" applyBorder="1" applyAlignment="1" applyProtection="1">
      <alignment horizontal="center" vertical="center" wrapText="1"/>
      <protection locked="0"/>
    </xf>
    <xf numFmtId="0" fontId="0" fillId="0" borderId="69" xfId="0" applyBorder="1" applyAlignment="1">
      <alignment horizontal="center" vertical="center"/>
    </xf>
    <xf numFmtId="0" fontId="61" fillId="0" borderId="69" xfId="0" applyFont="1" applyBorder="1" applyAlignment="1" applyProtection="1">
      <alignment horizontal="left" vertical="center" wrapText="1"/>
      <protection locked="0"/>
    </xf>
    <xf numFmtId="165" fontId="0" fillId="13" borderId="27" xfId="0" applyNumberFormat="1" applyFill="1" applyBorder="1" applyAlignment="1">
      <alignment horizontal="center" vertical="center" wrapText="1"/>
    </xf>
    <xf numFmtId="0" fontId="0" fillId="13" borderId="27" xfId="0" applyFill="1" applyBorder="1" applyAlignment="1">
      <alignment horizontal="center" vertical="center"/>
    </xf>
    <xf numFmtId="0" fontId="0" fillId="0" borderId="27" xfId="0" applyBorder="1" applyAlignment="1">
      <alignment horizontal="center" vertical="center"/>
    </xf>
    <xf numFmtId="165" fontId="0" fillId="0" borderId="27" xfId="0" applyNumberFormat="1" applyBorder="1" applyAlignment="1">
      <alignment horizontal="center" vertical="center" wrapText="1"/>
    </xf>
    <xf numFmtId="165" fontId="0" fillId="0" borderId="27" xfId="0" applyNumberFormat="1" applyBorder="1" applyAlignment="1">
      <alignment horizontal="center" vertical="center"/>
    </xf>
    <xf numFmtId="9" fontId="0" fillId="13" borderId="27" xfId="0" applyNumberFormat="1" applyFill="1" applyBorder="1" applyAlignment="1">
      <alignment horizontal="center" vertical="center"/>
    </xf>
    <xf numFmtId="1" fontId="0" fillId="13" borderId="27" xfId="0" applyNumberFormat="1" applyFill="1" applyBorder="1" applyAlignment="1">
      <alignment horizontal="center" vertical="center"/>
    </xf>
    <xf numFmtId="0" fontId="60" fillId="0" borderId="27" xfId="0" applyFont="1" applyBorder="1" applyAlignment="1" applyProtection="1">
      <alignment horizontal="center" vertical="center" wrapText="1"/>
      <protection locked="0"/>
    </xf>
    <xf numFmtId="0" fontId="62" fillId="0" borderId="27" xfId="0" applyFont="1" applyBorder="1" applyAlignment="1" applyProtection="1">
      <alignment horizontal="left" vertical="center" wrapText="1"/>
      <protection locked="0"/>
    </xf>
    <xf numFmtId="9" fontId="0" fillId="0" borderId="27" xfId="0" applyNumberFormat="1" applyBorder="1" applyAlignment="1">
      <alignment horizontal="center" vertical="center"/>
    </xf>
    <xf numFmtId="1" fontId="0" fillId="0" borderId="27" xfId="0" applyNumberFormat="1" applyBorder="1" applyAlignment="1">
      <alignment horizontal="center" vertical="center"/>
    </xf>
    <xf numFmtId="0" fontId="63" fillId="0" borderId="27" xfId="0" applyFont="1" applyBorder="1" applyAlignment="1" applyProtection="1">
      <alignment horizontal="center" vertical="center" wrapText="1"/>
      <protection locked="0"/>
    </xf>
    <xf numFmtId="0" fontId="61" fillId="0" borderId="27" xfId="0" applyFont="1" applyBorder="1" applyAlignment="1" applyProtection="1">
      <alignment horizontal="left" vertical="center" wrapText="1"/>
      <protection locked="0"/>
    </xf>
    <xf numFmtId="9" fontId="60" fillId="0" borderId="69" xfId="0" applyNumberFormat="1" applyFont="1" applyBorder="1" applyAlignment="1" applyProtection="1">
      <alignment horizontal="center" vertical="center" wrapText="1"/>
      <protection locked="0"/>
    </xf>
    <xf numFmtId="0" fontId="65" fillId="17" borderId="27" xfId="0" applyFont="1" applyFill="1" applyBorder="1" applyAlignment="1">
      <alignment horizontal="left" vertical="center" wrapText="1"/>
    </xf>
    <xf numFmtId="0" fontId="66" fillId="18" borderId="73" xfId="0" applyFont="1" applyFill="1" applyBorder="1" applyAlignment="1">
      <alignment horizontal="center" vertical="center" wrapText="1"/>
    </xf>
    <xf numFmtId="0" fontId="67" fillId="18" borderId="73" xfId="0" applyFont="1" applyFill="1" applyBorder="1" applyAlignment="1">
      <alignment horizontal="center" vertical="center" wrapText="1"/>
    </xf>
    <xf numFmtId="0" fontId="68" fillId="17" borderId="74" xfId="0" applyFont="1" applyFill="1" applyBorder="1" applyAlignment="1">
      <alignment horizontal="center" vertical="center"/>
    </xf>
    <xf numFmtId="0" fontId="69" fillId="19" borderId="73" xfId="0" applyFont="1" applyFill="1" applyBorder="1" applyAlignment="1">
      <alignment horizontal="left" vertical="center" wrapText="1"/>
    </xf>
    <xf numFmtId="0" fontId="69" fillId="20" borderId="74" xfId="0" applyFont="1" applyFill="1" applyBorder="1" applyAlignment="1">
      <alignment horizontal="left" vertical="center"/>
    </xf>
    <xf numFmtId="0" fontId="0" fillId="20" borderId="74" xfId="0" applyFill="1" applyBorder="1" applyAlignment="1">
      <alignment horizontal="left" vertical="center"/>
    </xf>
    <xf numFmtId="0" fontId="68" fillId="21" borderId="74" xfId="0" applyFont="1" applyFill="1" applyBorder="1" applyAlignment="1">
      <alignment horizontal="center" vertical="center"/>
    </xf>
    <xf numFmtId="0" fontId="68" fillId="0" borderId="0" xfId="0" applyFont="1" applyAlignment="1">
      <alignment horizontal="center" vertical="center"/>
    </xf>
    <xf numFmtId="0" fontId="0" fillId="20" borderId="75" xfId="0" applyFill="1" applyBorder="1" applyAlignment="1">
      <alignment horizontal="left" vertical="center"/>
    </xf>
    <xf numFmtId="0" fontId="0" fillId="22" borderId="74" xfId="0" applyFill="1" applyBorder="1" applyAlignment="1">
      <alignment horizontal="left" vertical="center"/>
    </xf>
    <xf numFmtId="0" fontId="69" fillId="15" borderId="0" xfId="0" applyFont="1" applyFill="1"/>
    <xf numFmtId="0" fontId="0" fillId="23" borderId="74" xfId="0" applyFill="1" applyBorder="1" applyAlignment="1">
      <alignment horizontal="left" vertical="center"/>
    </xf>
    <xf numFmtId="0" fontId="69" fillId="22" borderId="74" xfId="0" applyFont="1" applyFill="1" applyBorder="1" applyAlignment="1">
      <alignment horizontal="left" vertical="center"/>
    </xf>
    <xf numFmtId="0" fontId="69" fillId="23" borderId="74" xfId="0" applyFont="1" applyFill="1" applyBorder="1" applyAlignment="1">
      <alignment horizontal="left" vertical="center"/>
    </xf>
    <xf numFmtId="0" fontId="71" fillId="0" borderId="7" xfId="0" applyFont="1" applyBorder="1" applyAlignment="1" applyProtection="1">
      <alignment horizontal="center" vertical="top" wrapText="1"/>
      <protection locked="0"/>
    </xf>
    <xf numFmtId="0" fontId="72" fillId="0" borderId="7" xfId="0" applyFont="1" applyBorder="1" applyAlignment="1" applyProtection="1">
      <alignment vertical="top" wrapText="1"/>
      <protection locked="0"/>
    </xf>
    <xf numFmtId="0" fontId="71" fillId="0" borderId="4" xfId="0" applyFont="1" applyBorder="1" applyAlignment="1">
      <alignment horizontal="center" vertical="top"/>
    </xf>
    <xf numFmtId="0" fontId="71" fillId="0" borderId="4" xfId="0" applyFont="1" applyBorder="1" applyAlignment="1" applyProtection="1">
      <alignment horizontal="center" vertical="top"/>
      <protection hidden="1"/>
    </xf>
    <xf numFmtId="0" fontId="71" fillId="0" borderId="4" xfId="0" applyFont="1" applyBorder="1" applyAlignment="1" applyProtection="1">
      <alignment horizontal="center" vertical="top"/>
      <protection locked="0"/>
    </xf>
    <xf numFmtId="9" fontId="71" fillId="0" borderId="4" xfId="0" applyNumberFormat="1" applyFont="1" applyBorder="1" applyAlignment="1" applyProtection="1">
      <alignment horizontal="center" vertical="top"/>
      <protection hidden="1"/>
    </xf>
    <xf numFmtId="164" fontId="71" fillId="0" borderId="4" xfId="1" applyNumberFormat="1" applyFont="1" applyBorder="1" applyAlignment="1">
      <alignment horizontal="center" vertical="top"/>
    </xf>
    <xf numFmtId="0" fontId="73" fillId="0" borderId="4" xfId="0" applyFont="1" applyBorder="1" applyAlignment="1" applyProtection="1">
      <alignment horizontal="center" vertical="top" wrapText="1"/>
      <protection hidden="1"/>
    </xf>
    <xf numFmtId="9" fontId="71" fillId="0" borderId="7" xfId="0" applyNumberFormat="1" applyFont="1" applyBorder="1" applyAlignment="1" applyProtection="1">
      <alignment horizontal="center" vertical="top"/>
      <protection hidden="1"/>
    </xf>
    <xf numFmtId="0" fontId="73" fillId="0" borderId="4" xfId="0" applyFont="1" applyBorder="1" applyAlignment="1" applyProtection="1">
      <alignment horizontal="center" vertical="top"/>
      <protection hidden="1"/>
    </xf>
    <xf numFmtId="0" fontId="71" fillId="0" borderId="4" xfId="0" applyFont="1" applyBorder="1" applyAlignment="1" applyProtection="1">
      <alignment horizontal="center" vertical="top" wrapText="1"/>
      <protection locked="0"/>
    </xf>
    <xf numFmtId="0" fontId="71" fillId="0" borderId="2" xfId="0" applyFont="1" applyBorder="1" applyAlignment="1">
      <alignment horizontal="center" vertical="top"/>
    </xf>
    <xf numFmtId="0" fontId="71" fillId="0" borderId="2" xfId="0" applyFont="1" applyBorder="1" applyAlignment="1" applyProtection="1">
      <alignment horizontal="center" vertical="top"/>
      <protection hidden="1"/>
    </xf>
    <xf numFmtId="0" fontId="71" fillId="0" borderId="2" xfId="0" applyFont="1" applyBorder="1" applyAlignment="1" applyProtection="1">
      <alignment horizontal="center" vertical="top"/>
      <protection locked="0"/>
    </xf>
    <xf numFmtId="9" fontId="71" fillId="0" borderId="2" xfId="0" applyNumberFormat="1" applyFont="1" applyBorder="1" applyAlignment="1" applyProtection="1">
      <alignment horizontal="center" vertical="top"/>
      <protection hidden="1"/>
    </xf>
    <xf numFmtId="164" fontId="71" fillId="0" borderId="2" xfId="1" applyNumberFormat="1" applyFont="1" applyBorder="1" applyAlignment="1">
      <alignment horizontal="center" vertical="top"/>
    </xf>
    <xf numFmtId="0" fontId="73" fillId="0" borderId="2" xfId="0" applyFont="1" applyBorder="1" applyAlignment="1" applyProtection="1">
      <alignment horizontal="center" vertical="top" wrapText="1"/>
      <protection hidden="1"/>
    </xf>
    <xf numFmtId="9" fontId="71" fillId="0" borderId="3" xfId="0" applyNumberFormat="1" applyFont="1" applyBorder="1" applyAlignment="1" applyProtection="1">
      <alignment horizontal="center" vertical="top"/>
      <protection hidden="1"/>
    </xf>
    <xf numFmtId="0" fontId="73" fillId="0" borderId="2" xfId="0" applyFont="1" applyBorder="1" applyAlignment="1" applyProtection="1">
      <alignment horizontal="center" vertical="top"/>
      <protection hidden="1"/>
    </xf>
    <xf numFmtId="0" fontId="71" fillId="0" borderId="3" xfId="0" applyFont="1" applyBorder="1" applyAlignment="1" applyProtection="1">
      <alignment horizontal="center" vertical="top"/>
      <protection locked="0"/>
    </xf>
    <xf numFmtId="0" fontId="71" fillId="0" borderId="2" xfId="0" applyFont="1" applyBorder="1" applyAlignment="1" applyProtection="1">
      <alignment horizontal="center" vertical="top" wrapText="1"/>
      <protection locked="0"/>
    </xf>
    <xf numFmtId="14" fontId="71" fillId="0" borderId="2" xfId="0" applyNumberFormat="1" applyFont="1" applyBorder="1" applyAlignment="1" applyProtection="1">
      <alignment horizontal="center" vertical="top"/>
      <protection locked="0"/>
    </xf>
    <xf numFmtId="0" fontId="71" fillId="0" borderId="2" xfId="0" applyFont="1" applyBorder="1" applyAlignment="1" applyProtection="1">
      <alignment horizontal="justify" vertical="top"/>
      <protection locked="0"/>
    </xf>
    <xf numFmtId="0" fontId="72" fillId="0" borderId="4" xfId="0" applyFont="1" applyBorder="1" applyAlignment="1" applyProtection="1">
      <alignment vertical="top" wrapText="1"/>
      <protection locked="0"/>
    </xf>
    <xf numFmtId="0" fontId="71" fillId="0" borderId="3" xfId="0" applyFont="1" applyBorder="1" applyAlignment="1" applyProtection="1">
      <alignment horizontal="center" vertical="top" wrapText="1"/>
      <protection locked="0"/>
    </xf>
    <xf numFmtId="0" fontId="72" fillId="0" borderId="3" xfId="0" applyFont="1" applyBorder="1" applyAlignment="1" applyProtection="1">
      <alignment vertical="top" wrapText="1"/>
      <protection locked="0"/>
    </xf>
    <xf numFmtId="0" fontId="71" fillId="0" borderId="2" xfId="0" applyFont="1" applyBorder="1" applyAlignment="1" applyProtection="1">
      <alignment horizontal="center" vertical="top" textRotation="90"/>
      <protection locked="0"/>
    </xf>
    <xf numFmtId="0" fontId="73" fillId="0" borderId="2" xfId="0" applyFont="1" applyBorder="1" applyAlignment="1" applyProtection="1">
      <alignment horizontal="center" vertical="top" textRotation="90" wrapText="1"/>
      <protection hidden="1"/>
    </xf>
    <xf numFmtId="0" fontId="73" fillId="0" borderId="2" xfId="0" applyFont="1" applyBorder="1" applyAlignment="1" applyProtection="1">
      <alignment horizontal="center" vertical="top" textRotation="90"/>
      <protection hidden="1"/>
    </xf>
    <xf numFmtId="0" fontId="71" fillId="0" borderId="3" xfId="0" applyFont="1" applyBorder="1" applyAlignment="1" applyProtection="1">
      <alignment horizontal="center" vertical="top" textRotation="90"/>
      <protection locked="0"/>
    </xf>
    <xf numFmtId="0" fontId="71" fillId="0" borderId="4" xfId="0" applyFont="1" applyBorder="1" applyAlignment="1" applyProtection="1">
      <alignment horizontal="justify" vertical="top" wrapText="1"/>
      <protection locked="0"/>
    </xf>
    <xf numFmtId="0" fontId="71" fillId="0" borderId="2" xfId="0" applyFont="1" applyBorder="1" applyAlignment="1" applyProtection="1">
      <alignment horizontal="justify" vertical="top" wrapText="1"/>
      <protection locked="0"/>
    </xf>
    <xf numFmtId="0" fontId="71" fillId="0" borderId="7" xfId="0" applyFont="1" applyBorder="1" applyAlignment="1" applyProtection="1">
      <alignment horizontal="left" vertical="top" wrapText="1"/>
      <protection locked="0"/>
    </xf>
    <xf numFmtId="0" fontId="71" fillId="0" borderId="3" xfId="0" applyFont="1" applyBorder="1" applyAlignment="1" applyProtection="1">
      <alignment horizontal="left" vertical="top" wrapText="1"/>
      <protection locked="0"/>
    </xf>
    <xf numFmtId="0" fontId="71" fillId="0" borderId="7" xfId="0" applyFont="1" applyBorder="1" applyAlignment="1" applyProtection="1">
      <alignment horizontal="left" vertical="center" wrapText="1"/>
      <protection locked="0"/>
    </xf>
    <xf numFmtId="0" fontId="72" fillId="0" borderId="3" xfId="0" applyFont="1" applyBorder="1" applyAlignment="1" applyProtection="1">
      <alignment vertical="center" wrapText="1"/>
      <protection locked="0"/>
    </xf>
    <xf numFmtId="0" fontId="71" fillId="0" borderId="2" xfId="0" applyFont="1" applyBorder="1" applyAlignment="1" applyProtection="1">
      <alignment horizontal="center" vertical="center"/>
      <protection hidden="1"/>
    </xf>
    <xf numFmtId="0" fontId="71" fillId="0" borderId="2" xfId="0" applyFont="1" applyBorder="1" applyAlignment="1" applyProtection="1">
      <alignment horizontal="center" vertical="center"/>
      <protection locked="0"/>
    </xf>
    <xf numFmtId="9" fontId="71" fillId="0" borderId="2" xfId="0" applyNumberFormat="1" applyFont="1" applyBorder="1" applyAlignment="1" applyProtection="1">
      <alignment horizontal="center" vertical="center"/>
      <protection hidden="1"/>
    </xf>
    <xf numFmtId="0" fontId="73" fillId="0" borderId="2" xfId="0" applyFont="1" applyBorder="1" applyAlignment="1" applyProtection="1">
      <alignment horizontal="center" vertical="center" wrapText="1"/>
      <protection hidden="1"/>
    </xf>
    <xf numFmtId="9" fontId="71" fillId="0" borderId="3" xfId="0" applyNumberFormat="1" applyFont="1" applyBorder="1" applyAlignment="1" applyProtection="1">
      <alignment horizontal="center" vertical="center"/>
      <protection hidden="1"/>
    </xf>
    <xf numFmtId="0" fontId="73" fillId="0" borderId="2" xfId="0" applyFont="1" applyBorder="1" applyAlignment="1" applyProtection="1">
      <alignment horizontal="center" vertical="center"/>
      <protection hidden="1"/>
    </xf>
    <xf numFmtId="164" fontId="71" fillId="0" borderId="2" xfId="1" applyNumberFormat="1" applyFont="1" applyFill="1" applyBorder="1" applyAlignment="1">
      <alignment horizontal="center" vertical="top"/>
    </xf>
    <xf numFmtId="0" fontId="71" fillId="0" borderId="4" xfId="0" applyFont="1" applyBorder="1" applyAlignment="1" applyProtection="1">
      <alignment vertical="top"/>
      <protection locked="0"/>
    </xf>
    <xf numFmtId="0" fontId="72" fillId="0" borderId="7" xfId="0" applyFont="1" applyBorder="1" applyAlignment="1" applyProtection="1">
      <alignment vertical="center" wrapText="1"/>
      <protection locked="0"/>
    </xf>
    <xf numFmtId="0" fontId="71" fillId="0" borderId="2" xfId="0" applyFont="1" applyBorder="1" applyAlignment="1" applyProtection="1">
      <alignment horizontal="justify" vertical="center" wrapText="1"/>
      <protection locked="0"/>
    </xf>
    <xf numFmtId="0" fontId="25" fillId="25" borderId="26" xfId="0" applyFont="1" applyFill="1" applyBorder="1" applyAlignment="1">
      <alignment vertical="center"/>
    </xf>
    <xf numFmtId="0" fontId="25" fillId="25" borderId="0" xfId="0" applyFont="1" applyFill="1" applyAlignment="1">
      <alignment vertical="center"/>
    </xf>
    <xf numFmtId="0" fontId="73" fillId="2" borderId="27" xfId="0" applyFont="1" applyFill="1" applyBorder="1" applyAlignment="1">
      <alignment horizontal="center" vertical="center"/>
    </xf>
    <xf numFmtId="0" fontId="71" fillId="0" borderId="3" xfId="0" applyFont="1" applyBorder="1" applyAlignment="1" applyProtection="1">
      <alignment horizontal="left" vertical="center" wrapText="1"/>
      <protection locked="0"/>
    </xf>
    <xf numFmtId="0" fontId="4" fillId="2" borderId="5" xfId="0" applyFont="1" applyFill="1" applyBorder="1" applyAlignment="1">
      <alignment vertical="center"/>
    </xf>
    <xf numFmtId="0" fontId="73" fillId="2" borderId="8" xfId="0" applyFont="1" applyFill="1" applyBorder="1" applyAlignment="1">
      <alignment vertical="center"/>
    </xf>
    <xf numFmtId="0" fontId="73" fillId="2" borderId="2" xfId="0" applyFont="1" applyFill="1" applyBorder="1" applyAlignment="1">
      <alignment horizontal="center" vertical="center"/>
    </xf>
    <xf numFmtId="0" fontId="73" fillId="2" borderId="2" xfId="0" applyFont="1" applyFill="1" applyBorder="1" applyAlignment="1">
      <alignment horizontal="center" vertical="center" textRotation="9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0" fontId="62" fillId="0" borderId="2" xfId="0" applyFont="1" applyBorder="1" applyAlignment="1" applyProtection="1">
      <alignment horizontal="justify" vertical="top" wrapText="1"/>
      <protection locked="0"/>
    </xf>
    <xf numFmtId="14" fontId="1" fillId="0" borderId="2" xfId="0" applyNumberFormat="1" applyFont="1" applyBorder="1" applyAlignment="1" applyProtection="1">
      <alignment horizontal="center" vertical="top"/>
      <protection locked="0"/>
    </xf>
    <xf numFmtId="0" fontId="71" fillId="0" borderId="2" xfId="0" applyFont="1" applyBorder="1" applyAlignment="1" applyProtection="1">
      <alignment horizontal="justify" vertical="center"/>
      <protection locked="0"/>
    </xf>
    <xf numFmtId="0" fontId="72" fillId="0" borderId="2" xfId="0" applyFont="1" applyBorder="1" applyAlignment="1" applyProtection="1">
      <alignment horizontal="justify" vertical="center" wrapText="1"/>
      <protection locked="0"/>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4" fillId="0" borderId="2" xfId="0" applyFont="1" applyBorder="1" applyAlignment="1" applyProtection="1">
      <alignment horizontal="center" vertical="top" textRotation="90" wrapText="1"/>
      <protection hidden="1"/>
    </xf>
    <xf numFmtId="9" fontId="1" fillId="0" borderId="3"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3" xfId="0" applyFont="1" applyBorder="1" applyAlignment="1" applyProtection="1">
      <alignment horizontal="center" vertical="top"/>
      <protection locked="0"/>
    </xf>
    <xf numFmtId="0" fontId="72" fillId="0" borderId="2" xfId="0" applyFont="1" applyBorder="1" applyAlignment="1" applyProtection="1">
      <alignment horizontal="justify" vertical="top" wrapText="1"/>
      <protection locked="0"/>
    </xf>
    <xf numFmtId="0" fontId="2" fillId="0" borderId="7" xfId="0" applyFont="1" applyBorder="1" applyAlignment="1" applyProtection="1">
      <alignment vertical="top" wrapText="1"/>
      <protection locked="0"/>
    </xf>
    <xf numFmtId="0" fontId="1" fillId="0" borderId="2" xfId="0" applyFont="1" applyBorder="1" applyAlignment="1" applyProtection="1">
      <alignment horizontal="justify" vertical="top"/>
      <protection locked="0"/>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1" fillId="0" borderId="7" xfId="0" applyFont="1" applyBorder="1" applyAlignment="1" applyProtection="1">
      <alignment horizontal="center" vertical="top" wrapText="1"/>
      <protection locked="0"/>
    </xf>
    <xf numFmtId="0" fontId="76" fillId="0" borderId="2" xfId="0" applyFont="1" applyBorder="1" applyAlignment="1" applyProtection="1">
      <alignment horizontal="justify" vertical="top" wrapText="1"/>
      <protection locked="0"/>
    </xf>
    <xf numFmtId="0" fontId="1" fillId="0" borderId="4" xfId="0" applyFont="1" applyBorder="1" applyAlignment="1" applyProtection="1">
      <alignment horizontal="center" vertical="top" wrapText="1"/>
      <protection locked="0"/>
    </xf>
    <xf numFmtId="0" fontId="2" fillId="0" borderId="4" xfId="0" applyFont="1" applyBorder="1" applyAlignment="1" applyProtection="1">
      <alignment vertical="top" wrapText="1"/>
      <protection locked="0"/>
    </xf>
    <xf numFmtId="0" fontId="1" fillId="0" borderId="3" xfId="0" applyFont="1" applyBorder="1" applyAlignment="1" applyProtection="1">
      <alignment horizontal="center" vertical="top" textRotation="90"/>
      <protection locked="0"/>
    </xf>
    <xf numFmtId="0" fontId="4" fillId="2" borderId="27" xfId="0" applyFont="1" applyFill="1" applyBorder="1" applyAlignment="1">
      <alignment horizontal="center" vertical="center"/>
    </xf>
    <xf numFmtId="0" fontId="71" fillId="0" borderId="0" xfId="0" applyFont="1" applyAlignment="1">
      <alignment vertical="center"/>
    </xf>
    <xf numFmtId="0" fontId="71" fillId="0" borderId="4" xfId="0" applyFont="1" applyBorder="1" applyAlignment="1" applyProtection="1">
      <alignment horizontal="justify" vertical="center" wrapText="1"/>
      <protection locked="0"/>
    </xf>
    <xf numFmtId="0" fontId="71" fillId="0" borderId="79" xfId="0" applyFont="1" applyBorder="1" applyAlignment="1" applyProtection="1">
      <alignment vertical="top"/>
      <protection locked="0"/>
    </xf>
    <xf numFmtId="14" fontId="71" fillId="0" borderId="4" xfId="0" applyNumberFormat="1" applyFont="1" applyBorder="1" applyAlignment="1" applyProtection="1">
      <alignment horizontal="center" vertical="top"/>
      <protection locked="0"/>
    </xf>
    <xf numFmtId="0" fontId="50" fillId="14" borderId="42" xfId="2" applyFont="1" applyFill="1" applyBorder="1" applyAlignment="1">
      <alignment horizontal="center" vertical="center" wrapText="1"/>
    </xf>
    <xf numFmtId="0" fontId="50" fillId="14" borderId="43" xfId="2" applyFont="1" applyFill="1" applyBorder="1" applyAlignment="1">
      <alignment horizontal="center" vertical="center" wrapText="1"/>
    </xf>
    <xf numFmtId="0" fontId="50" fillId="14" borderId="44" xfId="2" applyFont="1" applyFill="1" applyBorder="1" applyAlignment="1">
      <alignment horizontal="center" vertical="center" wrapText="1"/>
    </xf>
    <xf numFmtId="0" fontId="49" fillId="0" borderId="12"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3" xfId="2" quotePrefix="1" applyFont="1" applyBorder="1" applyAlignment="1">
      <alignment horizontal="left" vertical="center" wrapText="1"/>
    </xf>
    <xf numFmtId="0" fontId="49" fillId="0" borderId="62" xfId="2" quotePrefix="1" applyFont="1" applyBorder="1" applyAlignment="1">
      <alignment horizontal="left" vertical="center" wrapText="1"/>
    </xf>
    <xf numFmtId="0" fontId="49" fillId="0" borderId="63" xfId="2" quotePrefix="1" applyFont="1" applyBorder="1" applyAlignment="1">
      <alignment horizontal="left" vertical="center" wrapText="1"/>
    </xf>
    <xf numFmtId="0" fontId="49" fillId="0" borderId="64" xfId="2" quotePrefix="1" applyFont="1" applyBorder="1" applyAlignment="1">
      <alignment horizontal="left" vertical="center" wrapText="1"/>
    </xf>
    <xf numFmtId="0" fontId="51" fillId="3" borderId="45" xfId="2" quotePrefix="1" applyFont="1" applyFill="1" applyBorder="1" applyAlignment="1">
      <alignment horizontal="left" vertical="top" wrapText="1"/>
    </xf>
    <xf numFmtId="0" fontId="52" fillId="3" borderId="46" xfId="2" quotePrefix="1" applyFont="1" applyFill="1" applyBorder="1" applyAlignment="1">
      <alignment horizontal="left" vertical="top" wrapText="1"/>
    </xf>
    <xf numFmtId="0" fontId="52" fillId="3" borderId="47" xfId="2" quotePrefix="1" applyFont="1" applyFill="1" applyBorder="1" applyAlignment="1">
      <alignment horizontal="left" vertical="top" wrapText="1"/>
    </xf>
    <xf numFmtId="0" fontId="49" fillId="0" borderId="12"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3" xfId="2" quotePrefix="1" applyFont="1" applyBorder="1" applyAlignment="1">
      <alignment horizontal="left" vertical="top" wrapText="1"/>
    </xf>
    <xf numFmtId="0" fontId="54" fillId="14" borderId="48" xfId="3" applyFont="1" applyFill="1" applyBorder="1" applyAlignment="1">
      <alignment horizontal="center" vertical="center" wrapText="1"/>
    </xf>
    <xf numFmtId="0" fontId="54" fillId="14" borderId="49" xfId="3" applyFont="1" applyFill="1" applyBorder="1" applyAlignment="1">
      <alignment horizontal="center" vertical="center" wrapText="1"/>
    </xf>
    <xf numFmtId="0" fontId="54" fillId="14" borderId="50" xfId="2" applyFont="1" applyFill="1" applyBorder="1" applyAlignment="1">
      <alignment horizontal="center" vertical="center"/>
    </xf>
    <xf numFmtId="0" fontId="54" fillId="14" borderId="51" xfId="2" applyFont="1" applyFill="1" applyBorder="1" applyAlignment="1">
      <alignment horizontal="center" vertical="center"/>
    </xf>
    <xf numFmtId="0" fontId="2" fillId="3" borderId="62" xfId="2" quotePrefix="1" applyFont="1" applyFill="1" applyBorder="1" applyAlignment="1">
      <alignment horizontal="justify" vertical="center" wrapText="1"/>
    </xf>
    <xf numFmtId="0" fontId="2" fillId="3" borderId="63" xfId="2" quotePrefix="1" applyFont="1" applyFill="1" applyBorder="1" applyAlignment="1">
      <alignment horizontal="justify" vertical="center" wrapText="1"/>
    </xf>
    <xf numFmtId="0" fontId="2" fillId="3" borderId="64" xfId="2" quotePrefix="1" applyFont="1" applyFill="1" applyBorder="1" applyAlignment="1">
      <alignment horizontal="justify" vertical="center" wrapText="1"/>
    </xf>
    <xf numFmtId="0" fontId="54" fillId="3" borderId="52" xfId="3" applyFont="1" applyFill="1" applyBorder="1" applyAlignment="1">
      <alignment horizontal="left" vertical="top" wrapText="1" readingOrder="1"/>
    </xf>
    <xf numFmtId="0" fontId="54" fillId="3" borderId="53" xfId="3" applyFont="1" applyFill="1" applyBorder="1" applyAlignment="1">
      <alignment horizontal="left" vertical="top" wrapText="1" readingOrder="1"/>
    </xf>
    <xf numFmtId="0" fontId="55" fillId="3" borderId="54" xfId="2" applyFont="1" applyFill="1" applyBorder="1" applyAlignment="1">
      <alignment horizontal="justify" vertical="center" wrapText="1"/>
    </xf>
    <xf numFmtId="0" fontId="55" fillId="3" borderId="55" xfId="2" applyFont="1" applyFill="1" applyBorder="1" applyAlignment="1">
      <alignment horizontal="justify" vertical="center" wrapText="1"/>
    </xf>
    <xf numFmtId="0" fontId="54" fillId="3" borderId="56" xfId="0" applyFont="1" applyFill="1" applyBorder="1" applyAlignment="1">
      <alignment horizontal="left" vertical="center" wrapText="1"/>
    </xf>
    <xf numFmtId="0" fontId="54" fillId="3" borderId="57" xfId="0" applyFont="1" applyFill="1" applyBorder="1" applyAlignment="1">
      <alignment horizontal="left" vertical="center" wrapText="1"/>
    </xf>
    <xf numFmtId="0" fontId="55" fillId="3" borderId="58" xfId="2" applyFont="1" applyFill="1" applyBorder="1" applyAlignment="1">
      <alignment horizontal="justify" vertical="center" wrapText="1"/>
    </xf>
    <xf numFmtId="0" fontId="55" fillId="3" borderId="59" xfId="2" applyFont="1" applyFill="1" applyBorder="1" applyAlignment="1">
      <alignment horizontal="justify" vertical="center" wrapText="1"/>
    </xf>
    <xf numFmtId="0" fontId="49" fillId="3" borderId="12"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3" xfId="2" applyFont="1" applyFill="1" applyBorder="1" applyAlignment="1">
      <alignment horizontal="left" vertical="top" wrapText="1"/>
    </xf>
    <xf numFmtId="0" fontId="54" fillId="3" borderId="65" xfId="0" applyFont="1" applyFill="1" applyBorder="1" applyAlignment="1">
      <alignment horizontal="left" vertical="center" wrapText="1"/>
    </xf>
    <xf numFmtId="0" fontId="54" fillId="3" borderId="66" xfId="0" applyFont="1" applyFill="1" applyBorder="1" applyAlignment="1">
      <alignment horizontal="left" vertical="center" wrapText="1"/>
    </xf>
    <xf numFmtId="0" fontId="54" fillId="3" borderId="67" xfId="0" applyFont="1" applyFill="1" applyBorder="1" applyAlignment="1">
      <alignment horizontal="left" vertical="center" wrapText="1"/>
    </xf>
    <xf numFmtId="0" fontId="54" fillId="3" borderId="68" xfId="0" applyFont="1" applyFill="1" applyBorder="1" applyAlignment="1">
      <alignment horizontal="left" vertical="center" wrapText="1"/>
    </xf>
    <xf numFmtId="0" fontId="55" fillId="3" borderId="60" xfId="0" applyFont="1" applyFill="1" applyBorder="1" applyAlignment="1">
      <alignment horizontal="justify" vertical="center" wrapText="1"/>
    </xf>
    <xf numFmtId="0" fontId="55" fillId="3" borderId="61" xfId="0" applyFont="1" applyFill="1" applyBorder="1" applyAlignment="1">
      <alignment horizontal="justify" vertical="center" wrapText="1"/>
    </xf>
    <xf numFmtId="0" fontId="25" fillId="25" borderId="27" xfId="0" applyFont="1" applyFill="1" applyBorder="1" applyAlignment="1">
      <alignment horizontal="center" vertical="center"/>
    </xf>
    <xf numFmtId="0" fontId="25" fillId="25" borderId="70" xfId="0" applyFont="1" applyFill="1" applyBorder="1" applyAlignment="1">
      <alignment horizontal="center" vertical="center"/>
    </xf>
    <xf numFmtId="0" fontId="5" fillId="25" borderId="27" xfId="0" applyFont="1" applyFill="1" applyBorder="1" applyAlignment="1">
      <alignment horizontal="center" vertical="center"/>
    </xf>
    <xf numFmtId="0" fontId="0" fillId="25" borderId="27" xfId="0" applyFill="1" applyBorder="1" applyAlignment="1">
      <alignment horizontal="center" vertical="center"/>
    </xf>
    <xf numFmtId="0" fontId="74" fillId="25" borderId="27" xfId="0" applyFont="1" applyFill="1" applyBorder="1" applyAlignment="1">
      <alignment horizontal="center" vertical="center"/>
    </xf>
    <xf numFmtId="14" fontId="75" fillId="25" borderId="27" xfId="0" applyNumberFormat="1" applyFont="1" applyFill="1" applyBorder="1" applyAlignment="1">
      <alignment horizontal="center" vertical="center"/>
    </xf>
    <xf numFmtId="0" fontId="71" fillId="0" borderId="3" xfId="0" applyFont="1" applyBorder="1" applyAlignment="1" applyProtection="1">
      <alignment horizontal="center" vertical="top"/>
      <protection locked="0"/>
    </xf>
    <xf numFmtId="0" fontId="71" fillId="0" borderId="4" xfId="0" applyFont="1" applyBorder="1" applyAlignment="1" applyProtection="1">
      <alignment horizontal="center" vertical="top"/>
      <protection locked="0"/>
    </xf>
    <xf numFmtId="0" fontId="71" fillId="0" borderId="3" xfId="0" applyFont="1" applyBorder="1" applyAlignment="1" applyProtection="1">
      <alignment horizontal="left" vertical="center" wrapText="1"/>
      <protection locked="0"/>
    </xf>
    <xf numFmtId="0" fontId="71" fillId="0" borderId="7" xfId="0" applyFont="1" applyBorder="1" applyAlignment="1" applyProtection="1">
      <alignment horizontal="left" vertical="center" wrapText="1"/>
      <protection locked="0"/>
    </xf>
    <xf numFmtId="0" fontId="73" fillId="0" borderId="3" xfId="0" applyFont="1" applyBorder="1" applyAlignment="1" applyProtection="1">
      <alignment horizontal="center" vertical="center"/>
      <protection hidden="1"/>
    </xf>
    <xf numFmtId="0" fontId="73" fillId="0" borderId="7" xfId="0" applyFont="1" applyBorder="1" applyAlignment="1" applyProtection="1">
      <alignment horizontal="center" vertical="center"/>
      <protection hidden="1"/>
    </xf>
    <xf numFmtId="0" fontId="73" fillId="0" borderId="4" xfId="0" applyFont="1" applyBorder="1" applyAlignment="1" applyProtection="1">
      <alignment horizontal="center" vertical="center"/>
      <protection hidden="1"/>
    </xf>
    <xf numFmtId="0" fontId="73" fillId="2" borderId="27" xfId="0" applyFont="1" applyFill="1" applyBorder="1" applyAlignment="1">
      <alignment horizontal="center" vertical="center" wrapText="1"/>
    </xf>
    <xf numFmtId="0" fontId="73" fillId="0" borderId="3" xfId="0" applyFont="1" applyBorder="1" applyAlignment="1" applyProtection="1">
      <alignment horizontal="center" vertical="center" wrapText="1"/>
      <protection hidden="1"/>
    </xf>
    <xf numFmtId="0" fontId="73" fillId="0" borderId="7" xfId="0" applyFont="1" applyBorder="1" applyAlignment="1" applyProtection="1">
      <alignment horizontal="center" vertical="center" wrapText="1"/>
      <protection hidden="1"/>
    </xf>
    <xf numFmtId="0" fontId="73" fillId="0" borderId="4" xfId="0" applyFont="1" applyBorder="1" applyAlignment="1" applyProtection="1">
      <alignment horizontal="center" vertical="center" wrapText="1"/>
      <protection hidden="1"/>
    </xf>
    <xf numFmtId="9" fontId="71" fillId="0" borderId="3" xfId="0" applyNumberFormat="1" applyFont="1" applyBorder="1" applyAlignment="1" applyProtection="1">
      <alignment horizontal="center" vertical="center" wrapText="1"/>
      <protection hidden="1"/>
    </xf>
    <xf numFmtId="9" fontId="71" fillId="0" borderId="7" xfId="0" applyNumberFormat="1" applyFont="1" applyBorder="1" applyAlignment="1" applyProtection="1">
      <alignment horizontal="center" vertical="center" wrapText="1"/>
      <protection hidden="1"/>
    </xf>
    <xf numFmtId="9" fontId="71" fillId="0" borderId="4" xfId="0" applyNumberFormat="1" applyFont="1" applyBorder="1" applyAlignment="1" applyProtection="1">
      <alignment horizontal="center" vertical="center" wrapText="1"/>
      <protection hidden="1"/>
    </xf>
    <xf numFmtId="0" fontId="71" fillId="0" borderId="7" xfId="0" applyFont="1" applyBorder="1" applyAlignment="1" applyProtection="1">
      <alignment horizontal="center" vertical="center" wrapText="1"/>
      <protection locked="0"/>
    </xf>
    <xf numFmtId="0" fontId="71" fillId="0" borderId="4" xfId="0" applyFont="1" applyBorder="1" applyAlignment="1" applyProtection="1">
      <alignment horizontal="center" vertical="center" wrapText="1"/>
      <protection locked="0"/>
    </xf>
    <xf numFmtId="0" fontId="71" fillId="0" borderId="7" xfId="0" applyFont="1" applyBorder="1" applyAlignment="1" applyProtection="1">
      <alignment horizontal="center" vertical="center"/>
      <protection locked="0"/>
    </xf>
    <xf numFmtId="0" fontId="71" fillId="0" borderId="4" xfId="0" applyFont="1" applyBorder="1" applyAlignment="1" applyProtection="1">
      <alignment horizontal="center" vertical="center"/>
      <protection locked="0"/>
    </xf>
    <xf numFmtId="0" fontId="71" fillId="0" borderId="79" xfId="0" applyFont="1" applyBorder="1" applyAlignment="1" applyProtection="1">
      <alignment horizontal="left" vertical="center" wrapText="1"/>
      <protection locked="0"/>
    </xf>
    <xf numFmtId="0" fontId="71" fillId="0" borderId="4" xfId="0" applyFont="1" applyBorder="1" applyAlignment="1" applyProtection="1">
      <alignment horizontal="left" vertical="center" wrapText="1"/>
      <protection locked="0"/>
    </xf>
    <xf numFmtId="0" fontId="24" fillId="0" borderId="77" xfId="0" applyFont="1" applyBorder="1" applyAlignment="1">
      <alignment horizontal="left" vertical="center"/>
    </xf>
    <xf numFmtId="0" fontId="24" fillId="0" borderId="78" xfId="0" applyFont="1" applyBorder="1" applyAlignment="1">
      <alignment horizontal="left" vertical="center"/>
    </xf>
    <xf numFmtId="0" fontId="7" fillId="3" borderId="26" xfId="0" applyFont="1" applyFill="1" applyBorder="1" applyAlignment="1" applyProtection="1">
      <alignment horizontal="left" vertical="center" wrapText="1"/>
      <protection locked="0"/>
    </xf>
    <xf numFmtId="0" fontId="7" fillId="3" borderId="78" xfId="0" applyFont="1" applyFill="1" applyBorder="1" applyAlignment="1" applyProtection="1">
      <alignment horizontal="left" vertical="center" wrapText="1"/>
      <protection locked="0"/>
    </xf>
    <xf numFmtId="9" fontId="71" fillId="0" borderId="7" xfId="0" applyNumberFormat="1" applyFont="1" applyBorder="1" applyAlignment="1" applyProtection="1">
      <alignment horizontal="center" vertical="center" wrapText="1"/>
      <protection locked="0"/>
    </xf>
    <xf numFmtId="9" fontId="71" fillId="0" borderId="4" xfId="0" applyNumberFormat="1" applyFont="1" applyBorder="1" applyAlignment="1" applyProtection="1">
      <alignment horizontal="center" vertical="center" wrapText="1"/>
      <protection locked="0"/>
    </xf>
    <xf numFmtId="9" fontId="71" fillId="0" borderId="3" xfId="0" applyNumberFormat="1" applyFont="1" applyBorder="1" applyAlignment="1" applyProtection="1">
      <alignment horizontal="center" vertical="center" wrapText="1"/>
      <protection locked="0"/>
    </xf>
    <xf numFmtId="0" fontId="73" fillId="2" borderId="8" xfId="0" applyFont="1" applyFill="1" applyBorder="1" applyAlignment="1">
      <alignment horizontal="center" vertical="center"/>
    </xf>
    <xf numFmtId="0" fontId="73" fillId="2" borderId="6" xfId="0" applyFont="1" applyFill="1" applyBorder="1" applyAlignment="1">
      <alignment horizontal="center" vertical="center"/>
    </xf>
    <xf numFmtId="0" fontId="71" fillId="0" borderId="3" xfId="0" applyFont="1" applyBorder="1" applyAlignment="1" applyProtection="1">
      <alignment horizontal="center" vertical="center"/>
      <protection locked="0"/>
    </xf>
    <xf numFmtId="0" fontId="4" fillId="24" borderId="27" xfId="0" applyFont="1" applyFill="1" applyBorder="1" applyAlignment="1">
      <alignment horizontal="center" vertical="center"/>
    </xf>
    <xf numFmtId="0" fontId="26" fillId="2" borderId="27" xfId="0" applyFont="1" applyFill="1" applyBorder="1" applyAlignment="1">
      <alignment horizontal="center" vertical="center" textRotation="90"/>
    </xf>
    <xf numFmtId="0" fontId="71" fillId="0" borderId="3" xfId="0" applyFont="1" applyBorder="1" applyAlignment="1" applyProtection="1">
      <alignment horizontal="center" vertical="center" wrapText="1"/>
      <protection locked="0"/>
    </xf>
    <xf numFmtId="0" fontId="71" fillId="0" borderId="3" xfId="0" applyFont="1" applyBorder="1" applyAlignment="1">
      <alignment horizontal="center" vertical="center"/>
    </xf>
    <xf numFmtId="0" fontId="71" fillId="0" borderId="7" xfId="0" applyFont="1" applyBorder="1" applyAlignment="1">
      <alignment horizontal="center" vertical="center"/>
    </xf>
    <xf numFmtId="0" fontId="71" fillId="0" borderId="4" xfId="0" applyFont="1" applyBorder="1" applyAlignment="1">
      <alignment horizontal="center" vertical="center"/>
    </xf>
    <xf numFmtId="0" fontId="73" fillId="2" borderId="27" xfId="0" applyFont="1" applyFill="1" applyBorder="1" applyAlignment="1">
      <alignment horizontal="center" vertical="center"/>
    </xf>
    <xf numFmtId="9" fontId="71" fillId="0" borderId="3" xfId="0" applyNumberFormat="1" applyFont="1" applyBorder="1" applyAlignment="1" applyProtection="1">
      <alignment horizontal="center" vertical="top" wrapText="1"/>
      <protection hidden="1"/>
    </xf>
    <xf numFmtId="9" fontId="71" fillId="0" borderId="7" xfId="0" applyNumberFormat="1" applyFont="1" applyBorder="1" applyAlignment="1" applyProtection="1">
      <alignment horizontal="center" vertical="top" wrapText="1"/>
      <protection hidden="1"/>
    </xf>
    <xf numFmtId="9" fontId="71" fillId="0" borderId="4" xfId="0" applyNumberFormat="1" applyFont="1" applyBorder="1" applyAlignment="1" applyProtection="1">
      <alignment horizontal="center" vertical="top" wrapText="1"/>
      <protection hidden="1"/>
    </xf>
    <xf numFmtId="0" fontId="64" fillId="24" borderId="27" xfId="0" applyFont="1" applyFill="1" applyBorder="1" applyAlignment="1">
      <alignment horizontal="center" vertical="center"/>
    </xf>
    <xf numFmtId="0" fontId="71" fillId="0" borderId="79" xfId="0" applyFont="1" applyBorder="1" applyAlignment="1" applyProtection="1">
      <alignment horizontal="center" vertical="center" wrapText="1"/>
      <protection locked="0"/>
    </xf>
    <xf numFmtId="0" fontId="71" fillId="0" borderId="79" xfId="0" applyFont="1" applyBorder="1" applyAlignment="1" applyProtection="1">
      <alignment horizontal="center" vertical="top"/>
      <protection locked="0"/>
    </xf>
    <xf numFmtId="0" fontId="73" fillId="2" borderId="27" xfId="0" applyFont="1" applyFill="1" applyBorder="1" applyAlignment="1">
      <alignment horizontal="center" vertical="center" textRotation="90" wrapText="1"/>
    </xf>
    <xf numFmtId="0" fontId="73" fillId="2" borderId="5" xfId="0" applyFont="1" applyFill="1" applyBorder="1" applyAlignment="1">
      <alignment horizontal="center" vertical="center"/>
    </xf>
    <xf numFmtId="0" fontId="73" fillId="24" borderId="27" xfId="0" applyFont="1" applyFill="1" applyBorder="1" applyAlignment="1">
      <alignment horizontal="center" vertical="center"/>
    </xf>
    <xf numFmtId="0" fontId="26" fillId="2" borderId="3" xfId="0" applyFont="1" applyFill="1" applyBorder="1" applyAlignment="1">
      <alignment horizontal="center" vertical="center" textRotation="90"/>
    </xf>
    <xf numFmtId="0" fontId="26" fillId="2" borderId="4" xfId="0" applyFont="1" applyFill="1" applyBorder="1" applyAlignment="1">
      <alignment horizontal="center" vertical="center" textRotation="90"/>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wrapText="1"/>
    </xf>
    <xf numFmtId="0" fontId="73" fillId="2" borderId="4" xfId="0" applyFont="1" applyFill="1" applyBorder="1" applyAlignment="1">
      <alignment horizontal="center" vertical="center" wrapText="1"/>
    </xf>
    <xf numFmtId="0" fontId="73" fillId="2" borderId="2" xfId="0" applyFont="1" applyFill="1" applyBorder="1" applyAlignment="1">
      <alignment horizontal="center" vertical="center" wrapText="1"/>
    </xf>
    <xf numFmtId="0" fontId="73" fillId="2" borderId="7" xfId="0" applyFont="1" applyFill="1" applyBorder="1" applyAlignment="1">
      <alignment horizontal="center" vertical="center" wrapText="1"/>
    </xf>
    <xf numFmtId="0" fontId="73" fillId="2" borderId="80" xfId="0" applyFont="1" applyFill="1" applyBorder="1" applyAlignment="1">
      <alignment horizontal="center" vertical="center"/>
    </xf>
    <xf numFmtId="0" fontId="73" fillId="2" borderId="82" xfId="0" applyFont="1" applyFill="1" applyBorder="1" applyAlignment="1">
      <alignment horizontal="center" vertical="center"/>
    </xf>
    <xf numFmtId="0" fontId="73" fillId="2" borderId="80" xfId="0" applyFont="1" applyFill="1" applyBorder="1" applyAlignment="1">
      <alignment horizontal="center" vertical="center" wrapText="1"/>
    </xf>
    <xf numFmtId="0" fontId="73" fillId="2" borderId="3" xfId="0" applyFont="1" applyFill="1" applyBorder="1" applyAlignment="1">
      <alignment horizontal="center" vertical="center" textRotation="90" wrapText="1"/>
    </xf>
    <xf numFmtId="0" fontId="73" fillId="2" borderId="4" xfId="0" applyFont="1" applyFill="1" applyBorder="1" applyAlignment="1">
      <alignment horizontal="center" vertical="center" textRotation="90" wrapText="1"/>
    </xf>
    <xf numFmtId="0" fontId="73" fillId="2" borderId="81" xfId="0" applyFont="1" applyFill="1" applyBorder="1" applyAlignment="1">
      <alignment horizontal="center" vertical="center" wrapText="1"/>
    </xf>
    <xf numFmtId="0" fontId="73" fillId="2" borderId="83" xfId="0" applyFont="1" applyFill="1" applyBorder="1" applyAlignment="1">
      <alignment horizontal="center" vertical="center" wrapText="1"/>
    </xf>
    <xf numFmtId="0" fontId="4" fillId="2" borderId="27" xfId="0" applyFont="1" applyFill="1" applyBorder="1" applyAlignment="1">
      <alignment horizontal="center" vertical="center"/>
    </xf>
    <xf numFmtId="0" fontId="4" fillId="2" borderId="27" xfId="0" applyFont="1" applyFill="1" applyBorder="1" applyAlignment="1">
      <alignment horizontal="center" vertical="center" wrapText="1"/>
    </xf>
    <xf numFmtId="0" fontId="4" fillId="2" borderId="27" xfId="0" applyFont="1" applyFill="1" applyBorder="1" applyAlignment="1">
      <alignment horizontal="center" vertical="center" textRotation="90" wrapText="1"/>
    </xf>
    <xf numFmtId="0" fontId="25" fillId="0" borderId="0" xfId="0" applyFont="1" applyAlignment="1">
      <alignment horizontal="center" vertical="center" wrapText="1"/>
    </xf>
    <xf numFmtId="0" fontId="20" fillId="5" borderId="12"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0"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0" fillId="5" borderId="11"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0"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1"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0"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1" xfId="0" applyFont="1" applyFill="1" applyBorder="1" applyAlignment="1" applyProtection="1">
      <alignment horizont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0"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1" xfId="0" applyFont="1" applyFill="1" applyBorder="1" applyAlignment="1" applyProtection="1">
      <alignment horizontal="center" vertical="center" wrapText="1" readingOrder="1"/>
      <protection hidden="1"/>
    </xf>
    <xf numFmtId="0" fontId="18" fillId="10" borderId="0" xfId="0" applyFont="1" applyFill="1" applyAlignment="1">
      <alignment horizontal="center" vertical="center" wrapText="1" readingOrder="1"/>
    </xf>
    <xf numFmtId="0" fontId="17" fillId="0" borderId="10" xfId="0" applyFont="1" applyBorder="1" applyAlignment="1">
      <alignment horizontal="center" vertical="center" wrapText="1"/>
    </xf>
    <xf numFmtId="0" fontId="17" fillId="0" borderId="17"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0" xfId="0" applyFont="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6" xfId="0" applyFont="1" applyBorder="1" applyAlignment="1">
      <alignment horizontal="center" vertical="center"/>
    </xf>
    <xf numFmtId="0" fontId="17" fillId="0" borderId="15" xfId="0" applyFont="1" applyBorder="1" applyAlignment="1">
      <alignment horizontal="center" vertical="center"/>
    </xf>
    <xf numFmtId="0" fontId="17" fillId="0" borderId="17" xfId="0" applyFont="1" applyBorder="1" applyAlignment="1">
      <alignment horizontal="center" vertical="center" wrapText="1"/>
    </xf>
    <xf numFmtId="0" fontId="18" fillId="10" borderId="0" xfId="0" applyFont="1" applyFill="1" applyAlignment="1">
      <alignment horizontal="center" vertical="center" textRotation="90" wrapText="1" readingOrder="1"/>
    </xf>
    <xf numFmtId="0" fontId="18" fillId="10" borderId="13" xfId="0" applyFont="1" applyFill="1" applyBorder="1" applyAlignment="1">
      <alignment horizontal="center" vertical="center" textRotation="90" wrapText="1" readingOrder="1"/>
    </xf>
    <xf numFmtId="0" fontId="21" fillId="12" borderId="18" xfId="0" applyFont="1" applyFill="1" applyBorder="1" applyAlignment="1">
      <alignment horizontal="center" vertical="center" wrapText="1" readingOrder="1"/>
    </xf>
    <xf numFmtId="0" fontId="21" fillId="12" borderId="19" xfId="0" applyFont="1" applyFill="1" applyBorder="1" applyAlignment="1">
      <alignment horizontal="center" vertical="center" wrapText="1" readingOrder="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1" borderId="18" xfId="0" applyFont="1" applyFill="1" applyBorder="1" applyAlignment="1">
      <alignment horizontal="center" vertical="center" wrapText="1" readingOrder="1"/>
    </xf>
    <xf numFmtId="0" fontId="21" fillId="11" borderId="19"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3" borderId="18" xfId="0" applyFont="1" applyFill="1" applyBorder="1" applyAlignment="1">
      <alignment horizontal="center" vertical="center" wrapText="1" readingOrder="1"/>
    </xf>
    <xf numFmtId="0" fontId="21" fillId="13" borderId="19"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5" borderId="18" xfId="0" applyFont="1" applyFill="1" applyBorder="1" applyAlignment="1">
      <alignment horizontal="center" vertical="center" wrapText="1" readingOrder="1"/>
    </xf>
    <xf numFmtId="0" fontId="21" fillId="5" borderId="19"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43" fillId="0" borderId="10" xfId="0" applyFont="1" applyBorder="1" applyAlignment="1">
      <alignment horizontal="center" vertical="center" wrapText="1"/>
    </xf>
    <xf numFmtId="0" fontId="43" fillId="0" borderId="17" xfId="0" applyFont="1" applyBorder="1" applyAlignment="1">
      <alignment horizontal="center" vertical="center"/>
    </xf>
    <xf numFmtId="0" fontId="43" fillId="0" borderId="11" xfId="0" applyFont="1" applyBorder="1" applyAlignment="1">
      <alignment horizontal="center" vertical="center"/>
    </xf>
    <xf numFmtId="0" fontId="43" fillId="0" borderId="12" xfId="0" applyFont="1" applyBorder="1" applyAlignment="1">
      <alignment horizontal="center" vertical="center"/>
    </xf>
    <xf numFmtId="0" fontId="43" fillId="0" borderId="0" xfId="0" applyFont="1" applyAlignment="1">
      <alignment horizontal="center" vertical="center"/>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43" fillId="0" borderId="16" xfId="0" applyFont="1" applyBorder="1" applyAlignment="1">
      <alignment horizontal="center" vertical="center"/>
    </xf>
    <xf numFmtId="0" fontId="43" fillId="0" borderId="15" xfId="0" applyFont="1" applyBorder="1" applyAlignment="1">
      <alignment horizontal="center" vertical="center"/>
    </xf>
    <xf numFmtId="0" fontId="43" fillId="0" borderId="17" xfId="0" applyFont="1" applyBorder="1" applyAlignment="1">
      <alignment horizontal="center" vertical="center" wrapText="1"/>
    </xf>
    <xf numFmtId="0" fontId="42" fillId="11" borderId="18" xfId="0" applyFont="1" applyFill="1" applyBorder="1" applyAlignment="1">
      <alignment horizontal="center" vertical="center" wrapText="1" readingOrder="1"/>
    </xf>
    <xf numFmtId="0" fontId="42" fillId="11" borderId="19" xfId="0" applyFont="1" applyFill="1" applyBorder="1" applyAlignment="1">
      <alignment horizontal="center" vertical="center" wrapText="1" readingOrder="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2" fillId="12" borderId="18" xfId="0" applyFont="1" applyFill="1" applyBorder="1" applyAlignment="1">
      <alignment horizontal="center" vertical="center" wrapText="1" readingOrder="1"/>
    </xf>
    <xf numFmtId="0" fontId="42" fillId="12" borderId="19" xfId="0" applyFont="1" applyFill="1" applyBorder="1" applyAlignment="1">
      <alignment horizontal="center" vertical="center" wrapText="1" readingOrder="1"/>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1" fillId="0" borderId="0" xfId="0" applyFont="1" applyAlignment="1">
      <alignment horizontal="center" vertical="center" wrapText="1"/>
    </xf>
    <xf numFmtId="0" fontId="22" fillId="0" borderId="0" xfId="0" applyFont="1" applyAlignment="1">
      <alignment horizontal="center" vertical="center" wrapText="1"/>
    </xf>
    <xf numFmtId="0" fontId="42" fillId="5" borderId="18" xfId="0" applyFont="1" applyFill="1" applyBorder="1" applyAlignment="1">
      <alignment horizontal="center" vertical="center" wrapText="1" readingOrder="1"/>
    </xf>
    <xf numFmtId="0" fontId="42" fillId="5" borderId="19" xfId="0" applyFont="1" applyFill="1" applyBorder="1" applyAlignment="1">
      <alignment horizontal="center" vertical="center" wrapText="1" readingOrder="1"/>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13" borderId="18" xfId="0" applyFont="1" applyFill="1" applyBorder="1" applyAlignment="1">
      <alignment horizontal="center" vertical="center" wrapText="1" readingOrder="1"/>
    </xf>
    <xf numFmtId="0" fontId="42" fillId="13" borderId="19"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24" fillId="0" borderId="0" xfId="0" applyFont="1" applyAlignment="1">
      <alignment horizontal="center" vertical="center"/>
    </xf>
    <xf numFmtId="0" fontId="45" fillId="0" borderId="0" xfId="0" applyFont="1" applyAlignment="1">
      <alignment horizontal="center" vertical="center"/>
    </xf>
    <xf numFmtId="0" fontId="40" fillId="15" borderId="29" xfId="0" applyFont="1" applyFill="1" applyBorder="1" applyAlignment="1">
      <alignment horizontal="center" vertical="center" wrapText="1" readingOrder="1"/>
    </xf>
    <xf numFmtId="0" fontId="40" fillId="15" borderId="30" xfId="0" applyFont="1" applyFill="1" applyBorder="1" applyAlignment="1">
      <alignment horizontal="center" vertical="center" wrapText="1" readingOrder="1"/>
    </xf>
    <xf numFmtId="0" fontId="40" fillId="15" borderId="41"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5" borderId="38" xfId="0" applyFont="1" applyFill="1" applyBorder="1" applyAlignment="1">
      <alignment horizontal="center" vertical="center" wrapText="1" readingOrder="1"/>
    </xf>
    <xf numFmtId="0" fontId="37" fillId="15" borderId="39" xfId="0" applyFont="1" applyFill="1" applyBorder="1" applyAlignment="1">
      <alignment horizontal="center" vertical="center" wrapText="1" readingOrder="1"/>
    </xf>
    <xf numFmtId="0" fontId="37" fillId="3" borderId="36" xfId="0"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7" fillId="3" borderId="28" xfId="0" applyFont="1" applyFill="1" applyBorder="1" applyAlignment="1">
      <alignment horizontal="center" vertical="center" wrapText="1" readingOrder="1"/>
    </xf>
    <xf numFmtId="0" fontId="37" fillId="3" borderId="27" xfId="0" applyFont="1" applyFill="1" applyBorder="1" applyAlignment="1">
      <alignment horizontal="center" vertical="center" wrapText="1" readingOrder="1"/>
    </xf>
    <xf numFmtId="0" fontId="37" fillId="3" borderId="33"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59" fillId="16" borderId="69" xfId="0" applyFont="1" applyFill="1" applyBorder="1" applyAlignment="1">
      <alignment horizontal="center" vertical="center"/>
    </xf>
    <xf numFmtId="0" fontId="59" fillId="16" borderId="72" xfId="0" applyFont="1" applyFill="1" applyBorder="1" applyAlignment="1">
      <alignment horizontal="center" vertical="center"/>
    </xf>
    <xf numFmtId="0" fontId="59" fillId="16" borderId="28" xfId="0" applyFont="1" applyFill="1" applyBorder="1" applyAlignment="1">
      <alignment horizontal="center" vertical="center"/>
    </xf>
    <xf numFmtId="0" fontId="58" fillId="16" borderId="69" xfId="0" applyFont="1" applyFill="1" applyBorder="1" applyAlignment="1">
      <alignment horizontal="center" vertical="center" wrapText="1"/>
    </xf>
    <xf numFmtId="0" fontId="58" fillId="16" borderId="72" xfId="0" applyFont="1" applyFill="1" applyBorder="1" applyAlignment="1">
      <alignment horizontal="center" vertical="center" wrapText="1"/>
    </xf>
    <xf numFmtId="0" fontId="58" fillId="16" borderId="28" xfId="0" applyFont="1" applyFill="1" applyBorder="1" applyAlignment="1">
      <alignment horizontal="center" vertical="center" wrapText="1"/>
    </xf>
    <xf numFmtId="0" fontId="58" fillId="0" borderId="70" xfId="0" applyFont="1" applyBorder="1" applyAlignment="1">
      <alignment horizontal="center" vertical="center"/>
    </xf>
    <xf numFmtId="0" fontId="58" fillId="0" borderId="71" xfId="0" applyFont="1" applyBorder="1" applyAlignment="1">
      <alignment horizontal="center" vertical="center"/>
    </xf>
    <xf numFmtId="0" fontId="58" fillId="0" borderId="27" xfId="0" applyFont="1" applyBorder="1" applyAlignment="1">
      <alignment horizontal="center" vertical="center" wrapText="1"/>
    </xf>
    <xf numFmtId="0" fontId="58" fillId="0" borderId="69" xfId="0" applyFont="1" applyBorder="1" applyAlignment="1">
      <alignment horizontal="center" vertical="center" wrapText="1"/>
    </xf>
    <xf numFmtId="0" fontId="58" fillId="0" borderId="72" xfId="0" applyFont="1" applyBorder="1" applyAlignment="1">
      <alignment horizontal="center" vertical="center" wrapText="1"/>
    </xf>
    <xf numFmtId="0" fontId="58" fillId="0" borderId="28" xfId="0" applyFont="1" applyBorder="1" applyAlignment="1">
      <alignment horizontal="center" vertical="center" wrapText="1"/>
    </xf>
    <xf numFmtId="0" fontId="58" fillId="8" borderId="27" xfId="0" applyFont="1" applyFill="1" applyBorder="1" applyAlignment="1">
      <alignment horizontal="center" vertical="center" wrapText="1"/>
    </xf>
    <xf numFmtId="0" fontId="70" fillId="0" borderId="0" xfId="0" applyFont="1" applyAlignment="1">
      <alignment horizontal="center" vertical="center" wrapText="1"/>
    </xf>
    <xf numFmtId="0" fontId="70" fillId="0" borderId="76" xfId="0" applyFont="1" applyBorder="1" applyAlignment="1">
      <alignment horizontal="center" vertical="center" wrapText="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79">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519551</xdr:colOff>
      <xdr:row>0</xdr:row>
      <xdr:rowOff>23094</xdr:rowOff>
    </xdr:from>
    <xdr:to>
      <xdr:col>2</xdr:col>
      <xdr:colOff>1408550</xdr:colOff>
      <xdr:row>4</xdr:row>
      <xdr:rowOff>361376</xdr:rowOff>
    </xdr:to>
    <xdr:pic>
      <xdr:nvPicPr>
        <xdr:cNvPr id="2" name="Imagen 1" descr="PHOTO-2020-01-15-13-41-43">
          <a:extLst>
            <a:ext uri="{FF2B5EF4-FFF2-40B4-BE49-F238E27FC236}">
              <a16:creationId xmlns:a16="http://schemas.microsoft.com/office/drawing/2014/main" id="{BB14AC71-60DA-4125-84A4-F6542C5F4BE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6216" b="17567"/>
        <a:stretch>
          <a:fillRect/>
        </a:stretch>
      </xdr:blipFill>
      <xdr:spPr bwMode="auto">
        <a:xfrm>
          <a:off x="796642" y="23094"/>
          <a:ext cx="1881908" cy="135428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273050</xdr:colOff>
      <xdr:row>0</xdr:row>
      <xdr:rowOff>101600</xdr:rowOff>
    </xdr:from>
    <xdr:to>
      <xdr:col>8</xdr:col>
      <xdr:colOff>666750</xdr:colOff>
      <xdr:row>27</xdr:row>
      <xdr:rowOff>177800</xdr:rowOff>
    </xdr:to>
    <xdr:pic>
      <xdr:nvPicPr>
        <xdr:cNvPr id="2" name="Imagen 2">
          <a:extLst>
            <a:ext uri="{FF2B5EF4-FFF2-40B4-BE49-F238E27FC236}">
              <a16:creationId xmlns:a16="http://schemas.microsoft.com/office/drawing/2014/main" id="{661A9872-796F-4CA4-8A93-E577A92263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050" y="101600"/>
          <a:ext cx="6489700" cy="504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8</xdr:col>
      <xdr:colOff>1729740</xdr:colOff>
      <xdr:row>6</xdr:row>
      <xdr:rowOff>0</xdr:rowOff>
    </xdr:from>
    <xdr:ext cx="184731" cy="264560"/>
    <xdr:sp macro="" textlink="">
      <xdr:nvSpPr>
        <xdr:cNvPr id="2" name="TextBox 1">
          <a:extLst>
            <a:ext uri="{FF2B5EF4-FFF2-40B4-BE49-F238E27FC236}">
              <a16:creationId xmlns:a16="http://schemas.microsoft.com/office/drawing/2014/main" id="{C9398CBA-F7D4-444D-8F2E-DD60A4CCC1F2}"/>
            </a:ext>
          </a:extLst>
        </xdr:cNvPr>
        <xdr:cNvSpPr txBox="1"/>
      </xdr:nvSpPr>
      <xdr:spPr>
        <a:xfrm>
          <a:off x="13191490" y="306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133351</xdr:colOff>
      <xdr:row>0</xdr:row>
      <xdr:rowOff>85726</xdr:rowOff>
    </xdr:from>
    <xdr:to>
      <xdr:col>1</xdr:col>
      <xdr:colOff>749300</xdr:colOff>
      <xdr:row>1</xdr:row>
      <xdr:rowOff>406399</xdr:rowOff>
    </xdr:to>
    <xdr:pic>
      <xdr:nvPicPr>
        <xdr:cNvPr id="2" name="Imagen 1" descr="PHOTO-2020-01-15-13-41-43">
          <a:extLst>
            <a:ext uri="{FF2B5EF4-FFF2-40B4-BE49-F238E27FC236}">
              <a16:creationId xmlns:a16="http://schemas.microsoft.com/office/drawing/2014/main" id="{D54A1F7E-D207-457F-A2BC-01E855C616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6216" b="17567"/>
        <a:stretch>
          <a:fillRect/>
        </a:stretch>
      </xdr:blipFill>
      <xdr:spPr bwMode="auto">
        <a:xfrm>
          <a:off x="133351" y="85726"/>
          <a:ext cx="1041399" cy="56832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Desktop/A.METROPOLITANA%20SECOP%202022/MIPG-2022/RIESGOS%20-%20GESTI&#211;N%20PLAN.%2020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ropbox\2024\calidad\calidad%20DEF\riesgos\1.%20Matriz_Mapa_Riesgos-Procesos%20Apoyo-2024.xlsx" TargetMode="External"/><Relationship Id="rId1" Type="http://schemas.openxmlformats.org/officeDocument/2006/relationships/externalLinkPath" Target="/Users/USER/Dropbox/2024/calidad/calidad%20DEF/riesgos/1.%20Matriz_Mapa_Riesgos-Procesos%20Apoyo-20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USER\Dropbox\2024\calidad\calidad%20DEF\riesgos\1.%20Matriz_Mapa_Riesgos-Procesos%20Misionales.xlsx" TargetMode="External"/><Relationship Id="rId1" Type="http://schemas.openxmlformats.org/officeDocument/2006/relationships/externalLinkPath" Target="/Users/USER/Dropbox/2024/calidad/calidad%20DEF/riesgos/1.%20Matriz_Mapa_Riesgos-Procesos%20Misionales.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USER\Dropbox\2024\calidad\calidad%20DEF\riesgos\1.%20Matriz_Mapa_Riesgos-P.%20Evaluaci&#243;n.xlsx" TargetMode="External"/><Relationship Id="rId1" Type="http://schemas.openxmlformats.org/officeDocument/2006/relationships/externalLinkPath" Target="/Users/USER/Dropbox/2024/calidad/calidad%20DEF/riesgos/1.%20Matriz_Mapa_Riesgos-P.%20Evalu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es"/>
      <sheetName val="Cuestiones"/>
      <sheetName val="Contexto Estrategico"/>
      <sheetName val="LISTA CRITERIOS"/>
      <sheetName val="Calificacion Controles"/>
      <sheetName val="Criterios de probabilidad"/>
      <sheetName val="Calificacion Impactos"/>
      <sheetName val="CriteriosControles"/>
      <sheetName val="Riesgos"/>
      <sheetName val="Oportunidades"/>
      <sheetName val="LISTADO DE PROCESOS"/>
      <sheetName val="Listas"/>
    </sheetNames>
    <sheetDataSet>
      <sheetData sheetId="0"/>
      <sheetData sheetId="1"/>
      <sheetData sheetId="2"/>
      <sheetData sheetId="3"/>
      <sheetData sheetId="4"/>
      <sheetData sheetId="5"/>
      <sheetData sheetId="6"/>
      <sheetData sheetId="7">
        <row r="2">
          <cell r="A2" t="str">
            <v>a. El Control No Aplica</v>
          </cell>
          <cell r="B2" t="str">
            <v>N</v>
          </cell>
        </row>
        <row r="3">
          <cell r="A3" t="str">
            <v>b. El Control es Redundante</v>
          </cell>
          <cell r="B3" t="str">
            <v>R</v>
          </cell>
        </row>
        <row r="4">
          <cell r="A4" t="str">
            <v>c. El Control es efectivo, es clave y no se cumple</v>
          </cell>
          <cell r="B4">
            <v>1</v>
          </cell>
        </row>
        <row r="5">
          <cell r="A5" t="str">
            <v>d. El Control es efectivo,  no es clave y no se cumple</v>
          </cell>
          <cell r="B5">
            <v>1</v>
          </cell>
        </row>
        <row r="6">
          <cell r="A6" t="str">
            <v>e. El Control es efectivo,  no es clave y se cumple</v>
          </cell>
          <cell r="B6">
            <v>4</v>
          </cell>
        </row>
        <row r="7">
          <cell r="A7" t="str">
            <v>f. El Control es efectivo, es clave y se cumple</v>
          </cell>
          <cell r="B7">
            <v>5</v>
          </cell>
        </row>
        <row r="8">
          <cell r="A8" t="str">
            <v>g. El Control es aceptable, es clave y no se cumple</v>
          </cell>
          <cell r="B8">
            <v>1</v>
          </cell>
        </row>
        <row r="9">
          <cell r="A9" t="str">
            <v>h. El Control es aceptable,  no es clave y no se cumple</v>
          </cell>
          <cell r="B9">
            <v>1</v>
          </cell>
        </row>
        <row r="10">
          <cell r="A10" t="str">
            <v>i. El Control es aceptable, no es clave y se cumple</v>
          </cell>
          <cell r="B10">
            <v>3</v>
          </cell>
        </row>
        <row r="11">
          <cell r="A11" t="str">
            <v>j. El Control es aceptable, es clave y se cumple</v>
          </cell>
          <cell r="B11">
            <v>4</v>
          </cell>
        </row>
        <row r="12">
          <cell r="A12" t="str">
            <v>k. El Control es inaceptable, es clave y no se cumple</v>
          </cell>
          <cell r="B12">
            <v>1</v>
          </cell>
        </row>
        <row r="13">
          <cell r="A13" t="str">
            <v>l. El Control es inaceptable,  no es clave y no se cumple</v>
          </cell>
          <cell r="B13">
            <v>1</v>
          </cell>
        </row>
        <row r="14">
          <cell r="A14" t="str">
            <v>m. El Control es inaceptable, no es clave y se cumple</v>
          </cell>
          <cell r="B14">
            <v>2</v>
          </cell>
        </row>
        <row r="15">
          <cell r="A15" t="str">
            <v>n. El Control es inaceptable, es clave y se cumple</v>
          </cell>
          <cell r="B15">
            <v>3</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Riesgos"/>
      <sheetName val="Matriz Calor Inherente"/>
      <sheetName val="Matriz Calor Residual"/>
      <sheetName val="Tabla probabilidad"/>
      <sheetName val="Tabla Impacto"/>
      <sheetName val="Tabla Valoración controles"/>
      <sheetName val="Tipologia"/>
      <sheetName val="Hoja3"/>
      <sheetName val="Hoja2"/>
      <sheetName val="Hoja4"/>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Riesgos"/>
      <sheetName val="Matriz Calor Inherente"/>
      <sheetName val="Matriz Calor Residual"/>
      <sheetName val="Tabla probabilidad"/>
      <sheetName val="Tabla Impacto"/>
      <sheetName val="Tabla Valoración controles"/>
      <sheetName val="Tipologia"/>
      <sheetName val="Hoja3"/>
      <sheetName val="DATOS"/>
      <sheetName val="Hoja4"/>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uctivo"/>
      <sheetName val="Riesgos"/>
      <sheetName val="Matriz Calor Inherente"/>
      <sheetName val="Matriz Calor Residual"/>
      <sheetName val="Tabla probabilidad"/>
      <sheetName val="Tabla Impacto"/>
      <sheetName val="Tabla Valoración controles"/>
      <sheetName val="Tipologia"/>
      <sheetName val="Hoja3"/>
      <sheetName val="DATOS"/>
      <sheetName val="Hoja4"/>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 sheetId="9"/>
      <sheetData sheetId="10"/>
      <sheetData sheetId="11"/>
      <sheetData sheetId="1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278" dataDxfId="277">
  <autoFilter ref="B209:C219" xr:uid="{00000000-0009-0000-0100-000001000000}"/>
  <tableColumns count="2">
    <tableColumn id="1" xr3:uid="{00000000-0010-0000-0000-000001000000}" name="Criterios" dataDxfId="276"/>
    <tableColumn id="2" xr3:uid="{00000000-0010-0000-0000-000002000000}" name="Subcriterios" dataDxfId="27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4"/>
  <sheetViews>
    <sheetView topLeftCell="A28" zoomScale="110" zoomScaleNormal="110" workbookViewId="0">
      <selection activeCell="C34" sqref="C34:D34"/>
    </sheetView>
  </sheetViews>
  <sheetFormatPr baseColWidth="10" defaultColWidth="11.42578125" defaultRowHeight="15" x14ac:dyDescent="0.25"/>
  <cols>
    <col min="1" max="1" width="2.85546875" style="77" customWidth="1"/>
    <col min="2" max="3" width="24.7109375" style="77" customWidth="1"/>
    <col min="4" max="4" width="16" style="77" customWidth="1"/>
    <col min="5" max="5" width="24.7109375" style="77" customWidth="1"/>
    <col min="6" max="6" width="27.7109375" style="77" customWidth="1"/>
    <col min="7" max="8" width="24.7109375" style="77" customWidth="1"/>
    <col min="9" max="16384" width="11.42578125" style="77"/>
  </cols>
  <sheetData>
    <row r="1" spans="2:8" ht="15.75" thickBot="1" x14ac:dyDescent="0.3"/>
    <row r="2" spans="2:8" ht="18" x14ac:dyDescent="0.25">
      <c r="B2" s="234" t="s">
        <v>159</v>
      </c>
      <c r="C2" s="235"/>
      <c r="D2" s="235"/>
      <c r="E2" s="235"/>
      <c r="F2" s="235"/>
      <c r="G2" s="235"/>
      <c r="H2" s="236"/>
    </row>
    <row r="3" spans="2:8" x14ac:dyDescent="0.25">
      <c r="B3" s="78"/>
      <c r="C3" s="79"/>
      <c r="D3" s="79"/>
      <c r="E3" s="79"/>
      <c r="F3" s="79"/>
      <c r="G3" s="79"/>
      <c r="H3" s="80"/>
    </row>
    <row r="4" spans="2:8" ht="63" customHeight="1" x14ac:dyDescent="0.25">
      <c r="B4" s="237" t="s">
        <v>202</v>
      </c>
      <c r="C4" s="238"/>
      <c r="D4" s="238"/>
      <c r="E4" s="238"/>
      <c r="F4" s="238"/>
      <c r="G4" s="238"/>
      <c r="H4" s="239"/>
    </row>
    <row r="5" spans="2:8" ht="63" customHeight="1" x14ac:dyDescent="0.25">
      <c r="B5" s="240"/>
      <c r="C5" s="241"/>
      <c r="D5" s="241"/>
      <c r="E5" s="241"/>
      <c r="F5" s="241"/>
      <c r="G5" s="241"/>
      <c r="H5" s="242"/>
    </row>
    <row r="6" spans="2:8" ht="16.5" x14ac:dyDescent="0.25">
      <c r="B6" s="243" t="s">
        <v>157</v>
      </c>
      <c r="C6" s="244"/>
      <c r="D6" s="244"/>
      <c r="E6" s="244"/>
      <c r="F6" s="244"/>
      <c r="G6" s="244"/>
      <c r="H6" s="245"/>
    </row>
    <row r="7" spans="2:8" ht="95.25" customHeight="1" x14ac:dyDescent="0.25">
      <c r="B7" s="253" t="s">
        <v>162</v>
      </c>
      <c r="C7" s="254"/>
      <c r="D7" s="254"/>
      <c r="E7" s="254"/>
      <c r="F7" s="254"/>
      <c r="G7" s="254"/>
      <c r="H7" s="255"/>
    </row>
    <row r="8" spans="2:8" ht="16.5" x14ac:dyDescent="0.25">
      <c r="B8" s="114"/>
      <c r="C8" s="115"/>
      <c r="D8" s="115"/>
      <c r="E8" s="115"/>
      <c r="F8" s="115"/>
      <c r="G8" s="115"/>
      <c r="H8" s="116"/>
    </row>
    <row r="9" spans="2:8" ht="16.5" customHeight="1" x14ac:dyDescent="0.25">
      <c r="B9" s="246" t="s">
        <v>195</v>
      </c>
      <c r="C9" s="247"/>
      <c r="D9" s="247"/>
      <c r="E9" s="247"/>
      <c r="F9" s="247"/>
      <c r="G9" s="247"/>
      <c r="H9" s="248"/>
    </row>
    <row r="10" spans="2:8" ht="44.25" customHeight="1" x14ac:dyDescent="0.25">
      <c r="B10" s="246"/>
      <c r="C10" s="247"/>
      <c r="D10" s="247"/>
      <c r="E10" s="247"/>
      <c r="F10" s="247"/>
      <c r="G10" s="247"/>
      <c r="H10" s="248"/>
    </row>
    <row r="11" spans="2:8" ht="15.75" thickBot="1" x14ac:dyDescent="0.3">
      <c r="B11" s="103"/>
      <c r="C11" s="106"/>
      <c r="D11" s="111"/>
      <c r="E11" s="112"/>
      <c r="F11" s="112"/>
      <c r="G11" s="113"/>
      <c r="H11" s="107"/>
    </row>
    <row r="12" spans="2:8" ht="15.75" thickTop="1" x14ac:dyDescent="0.25">
      <c r="B12" s="103"/>
      <c r="C12" s="249" t="s">
        <v>158</v>
      </c>
      <c r="D12" s="250"/>
      <c r="E12" s="251" t="s">
        <v>196</v>
      </c>
      <c r="F12" s="252"/>
      <c r="G12" s="106"/>
      <c r="H12" s="107"/>
    </row>
    <row r="13" spans="2:8" ht="35.25" customHeight="1" x14ac:dyDescent="0.25">
      <c r="B13" s="103"/>
      <c r="C13" s="256" t="s">
        <v>189</v>
      </c>
      <c r="D13" s="257"/>
      <c r="E13" s="258" t="s">
        <v>194</v>
      </c>
      <c r="F13" s="259"/>
      <c r="G13" s="106"/>
      <c r="H13" s="107"/>
    </row>
    <row r="14" spans="2:8" ht="17.25" customHeight="1" x14ac:dyDescent="0.25">
      <c r="B14" s="103"/>
      <c r="C14" s="256" t="s">
        <v>190</v>
      </c>
      <c r="D14" s="257"/>
      <c r="E14" s="258" t="s">
        <v>192</v>
      </c>
      <c r="F14" s="259"/>
      <c r="G14" s="106"/>
      <c r="H14" s="107"/>
    </row>
    <row r="15" spans="2:8" ht="19.5" customHeight="1" x14ac:dyDescent="0.25">
      <c r="B15" s="103"/>
      <c r="C15" s="256" t="s">
        <v>191</v>
      </c>
      <c r="D15" s="257"/>
      <c r="E15" s="258" t="s">
        <v>193</v>
      </c>
      <c r="F15" s="259"/>
      <c r="G15" s="106"/>
      <c r="H15" s="107"/>
    </row>
    <row r="16" spans="2:8" ht="69.75" customHeight="1" x14ac:dyDescent="0.25">
      <c r="B16" s="103"/>
      <c r="C16" s="256" t="s">
        <v>160</v>
      </c>
      <c r="D16" s="257"/>
      <c r="E16" s="258" t="s">
        <v>161</v>
      </c>
      <c r="F16" s="259"/>
      <c r="G16" s="106"/>
      <c r="H16" s="107"/>
    </row>
    <row r="17" spans="2:8" ht="34.5" customHeight="1" x14ac:dyDescent="0.25">
      <c r="B17" s="103"/>
      <c r="C17" s="260" t="s">
        <v>2</v>
      </c>
      <c r="D17" s="261"/>
      <c r="E17" s="262" t="s">
        <v>203</v>
      </c>
      <c r="F17" s="263"/>
      <c r="G17" s="106"/>
      <c r="H17" s="107"/>
    </row>
    <row r="18" spans="2:8" ht="28.5" customHeight="1" x14ac:dyDescent="0.25">
      <c r="B18" s="103"/>
      <c r="C18" s="260" t="s">
        <v>41</v>
      </c>
      <c r="D18" s="261"/>
      <c r="E18" s="262" t="s">
        <v>204</v>
      </c>
      <c r="F18" s="263"/>
      <c r="G18" s="106"/>
      <c r="H18" s="107"/>
    </row>
    <row r="19" spans="2:8" ht="72.75" customHeight="1" x14ac:dyDescent="0.25">
      <c r="B19" s="103"/>
      <c r="C19" s="260" t="s">
        <v>1</v>
      </c>
      <c r="D19" s="261"/>
      <c r="E19" s="262" t="s">
        <v>205</v>
      </c>
      <c r="F19" s="263"/>
      <c r="G19" s="106"/>
      <c r="H19" s="107"/>
    </row>
    <row r="20" spans="2:8" ht="64.5" customHeight="1" x14ac:dyDescent="0.25">
      <c r="B20" s="103"/>
      <c r="C20" s="260" t="s">
        <v>47</v>
      </c>
      <c r="D20" s="261"/>
      <c r="E20" s="262" t="s">
        <v>164</v>
      </c>
      <c r="F20" s="263"/>
      <c r="G20" s="106"/>
      <c r="H20" s="107"/>
    </row>
    <row r="21" spans="2:8" ht="71.25" customHeight="1" x14ac:dyDescent="0.25">
      <c r="B21" s="103"/>
      <c r="C21" s="260" t="s">
        <v>163</v>
      </c>
      <c r="D21" s="261"/>
      <c r="E21" s="262" t="s">
        <v>165</v>
      </c>
      <c r="F21" s="263"/>
      <c r="G21" s="106"/>
      <c r="H21" s="107"/>
    </row>
    <row r="22" spans="2:8" ht="55.5" customHeight="1" x14ac:dyDescent="0.25">
      <c r="B22" s="103"/>
      <c r="C22" s="267" t="s">
        <v>166</v>
      </c>
      <c r="D22" s="268"/>
      <c r="E22" s="262" t="s">
        <v>167</v>
      </c>
      <c r="F22" s="263"/>
      <c r="G22" s="106"/>
      <c r="H22" s="107"/>
    </row>
    <row r="23" spans="2:8" ht="42" customHeight="1" x14ac:dyDescent="0.25">
      <c r="B23" s="103"/>
      <c r="C23" s="267" t="s">
        <v>45</v>
      </c>
      <c r="D23" s="268"/>
      <c r="E23" s="262" t="s">
        <v>168</v>
      </c>
      <c r="F23" s="263"/>
      <c r="G23" s="106"/>
      <c r="H23" s="107"/>
    </row>
    <row r="24" spans="2:8" ht="59.25" customHeight="1" x14ac:dyDescent="0.25">
      <c r="B24" s="103"/>
      <c r="C24" s="267" t="s">
        <v>156</v>
      </c>
      <c r="D24" s="268"/>
      <c r="E24" s="262" t="s">
        <v>169</v>
      </c>
      <c r="F24" s="263"/>
      <c r="G24" s="106"/>
      <c r="H24" s="107"/>
    </row>
    <row r="25" spans="2:8" ht="23.25" customHeight="1" x14ac:dyDescent="0.25">
      <c r="B25" s="103"/>
      <c r="C25" s="267" t="s">
        <v>11</v>
      </c>
      <c r="D25" s="268"/>
      <c r="E25" s="262" t="s">
        <v>170</v>
      </c>
      <c r="F25" s="263"/>
      <c r="G25" s="106"/>
      <c r="H25" s="107"/>
    </row>
    <row r="26" spans="2:8" ht="30.75" customHeight="1" x14ac:dyDescent="0.25">
      <c r="B26" s="103"/>
      <c r="C26" s="267" t="s">
        <v>174</v>
      </c>
      <c r="D26" s="268"/>
      <c r="E26" s="262" t="s">
        <v>171</v>
      </c>
      <c r="F26" s="263"/>
      <c r="G26" s="106"/>
      <c r="H26" s="107"/>
    </row>
    <row r="27" spans="2:8" ht="35.25" customHeight="1" x14ac:dyDescent="0.25">
      <c r="B27" s="103"/>
      <c r="C27" s="267" t="s">
        <v>175</v>
      </c>
      <c r="D27" s="268"/>
      <c r="E27" s="262" t="s">
        <v>172</v>
      </c>
      <c r="F27" s="263"/>
      <c r="G27" s="106"/>
      <c r="H27" s="107"/>
    </row>
    <row r="28" spans="2:8" ht="33" customHeight="1" x14ac:dyDescent="0.25">
      <c r="B28" s="103"/>
      <c r="C28" s="267" t="s">
        <v>175</v>
      </c>
      <c r="D28" s="268"/>
      <c r="E28" s="262" t="s">
        <v>172</v>
      </c>
      <c r="F28" s="263"/>
      <c r="G28" s="106"/>
      <c r="H28" s="107"/>
    </row>
    <row r="29" spans="2:8" ht="30" customHeight="1" x14ac:dyDescent="0.25">
      <c r="B29" s="103"/>
      <c r="C29" s="267" t="s">
        <v>176</v>
      </c>
      <c r="D29" s="268"/>
      <c r="E29" s="262" t="s">
        <v>173</v>
      </c>
      <c r="F29" s="263"/>
      <c r="G29" s="106"/>
      <c r="H29" s="107"/>
    </row>
    <row r="30" spans="2:8" ht="35.25" customHeight="1" x14ac:dyDescent="0.25">
      <c r="B30" s="103"/>
      <c r="C30" s="267" t="s">
        <v>177</v>
      </c>
      <c r="D30" s="268"/>
      <c r="E30" s="262" t="s">
        <v>178</v>
      </c>
      <c r="F30" s="263"/>
      <c r="G30" s="106"/>
      <c r="H30" s="107"/>
    </row>
    <row r="31" spans="2:8" ht="31.5" customHeight="1" x14ac:dyDescent="0.25">
      <c r="B31" s="103"/>
      <c r="C31" s="267" t="s">
        <v>179</v>
      </c>
      <c r="D31" s="268"/>
      <c r="E31" s="262" t="s">
        <v>180</v>
      </c>
      <c r="F31" s="263"/>
      <c r="G31" s="106"/>
      <c r="H31" s="107"/>
    </row>
    <row r="32" spans="2:8" ht="35.25" customHeight="1" x14ac:dyDescent="0.25">
      <c r="B32" s="103"/>
      <c r="C32" s="267" t="s">
        <v>181</v>
      </c>
      <c r="D32" s="268"/>
      <c r="E32" s="262" t="s">
        <v>182</v>
      </c>
      <c r="F32" s="263"/>
      <c r="G32" s="106"/>
      <c r="H32" s="107"/>
    </row>
    <row r="33" spans="2:8" ht="59.25" customHeight="1" x14ac:dyDescent="0.25">
      <c r="B33" s="103"/>
      <c r="C33" s="267" t="s">
        <v>183</v>
      </c>
      <c r="D33" s="268"/>
      <c r="E33" s="262" t="s">
        <v>184</v>
      </c>
      <c r="F33" s="263"/>
      <c r="G33" s="106"/>
      <c r="H33" s="107"/>
    </row>
    <row r="34" spans="2:8" ht="29.25" customHeight="1" x14ac:dyDescent="0.25">
      <c r="B34" s="103"/>
      <c r="C34" s="267" t="s">
        <v>28</v>
      </c>
      <c r="D34" s="268"/>
      <c r="E34" s="262" t="s">
        <v>185</v>
      </c>
      <c r="F34" s="263"/>
      <c r="G34" s="106"/>
      <c r="H34" s="107"/>
    </row>
    <row r="35" spans="2:8" ht="82.5" customHeight="1" x14ac:dyDescent="0.25">
      <c r="B35" s="103"/>
      <c r="C35" s="267" t="s">
        <v>187</v>
      </c>
      <c r="D35" s="268"/>
      <c r="E35" s="262" t="s">
        <v>186</v>
      </c>
      <c r="F35" s="263"/>
      <c r="G35" s="106"/>
      <c r="H35" s="107"/>
    </row>
    <row r="36" spans="2:8" ht="46.5" customHeight="1" x14ac:dyDescent="0.25">
      <c r="B36" s="103"/>
      <c r="C36" s="267" t="s">
        <v>38</v>
      </c>
      <c r="D36" s="268"/>
      <c r="E36" s="262" t="s">
        <v>188</v>
      </c>
      <c r="F36" s="263"/>
      <c r="G36" s="106"/>
      <c r="H36" s="107"/>
    </row>
    <row r="37" spans="2:8" ht="6.75" customHeight="1" thickBot="1" x14ac:dyDescent="0.3">
      <c r="B37" s="103"/>
      <c r="C37" s="269"/>
      <c r="D37" s="270"/>
      <c r="E37" s="271"/>
      <c r="F37" s="272"/>
      <c r="G37" s="106"/>
      <c r="H37" s="107"/>
    </row>
    <row r="38" spans="2:8" ht="15.75" thickTop="1" x14ac:dyDescent="0.25">
      <c r="B38" s="103"/>
      <c r="C38" s="104"/>
      <c r="D38" s="104"/>
      <c r="E38" s="105"/>
      <c r="F38" s="105"/>
      <c r="G38" s="106"/>
      <c r="H38" s="107"/>
    </row>
    <row r="39" spans="2:8" ht="21" customHeight="1" x14ac:dyDescent="0.25">
      <c r="B39" s="264" t="s">
        <v>197</v>
      </c>
      <c r="C39" s="265"/>
      <c r="D39" s="265"/>
      <c r="E39" s="265"/>
      <c r="F39" s="265"/>
      <c r="G39" s="265"/>
      <c r="H39" s="266"/>
    </row>
    <row r="40" spans="2:8" ht="20.25" customHeight="1" x14ac:dyDescent="0.25">
      <c r="B40" s="264" t="s">
        <v>198</v>
      </c>
      <c r="C40" s="265"/>
      <c r="D40" s="265"/>
      <c r="E40" s="265"/>
      <c r="F40" s="265"/>
      <c r="G40" s="265"/>
      <c r="H40" s="266"/>
    </row>
    <row r="41" spans="2:8" ht="20.25" customHeight="1" x14ac:dyDescent="0.25">
      <c r="B41" s="264" t="s">
        <v>199</v>
      </c>
      <c r="C41" s="265"/>
      <c r="D41" s="265"/>
      <c r="E41" s="265"/>
      <c r="F41" s="265"/>
      <c r="G41" s="265"/>
      <c r="H41" s="266"/>
    </row>
    <row r="42" spans="2:8" ht="20.25" customHeight="1" x14ac:dyDescent="0.25">
      <c r="B42" s="264" t="s">
        <v>200</v>
      </c>
      <c r="C42" s="265"/>
      <c r="D42" s="265"/>
      <c r="E42" s="265"/>
      <c r="F42" s="265"/>
      <c r="G42" s="265"/>
      <c r="H42" s="266"/>
    </row>
    <row r="43" spans="2:8" x14ac:dyDescent="0.25">
      <c r="B43" s="264" t="s">
        <v>201</v>
      </c>
      <c r="C43" s="265"/>
      <c r="D43" s="265"/>
      <c r="E43" s="265"/>
      <c r="F43" s="265"/>
      <c r="G43" s="265"/>
      <c r="H43" s="266"/>
    </row>
    <row r="44" spans="2:8" ht="15.75" thickBot="1" x14ac:dyDescent="0.3">
      <c r="B44" s="108"/>
      <c r="C44" s="109"/>
      <c r="D44" s="109"/>
      <c r="E44" s="109"/>
      <c r="F44" s="109"/>
      <c r="G44" s="109"/>
      <c r="H44" s="110"/>
    </row>
  </sheetData>
  <mergeCells count="62">
    <mergeCell ref="E27:F27"/>
    <mergeCell ref="C27:D27"/>
    <mergeCell ref="C16:D16"/>
    <mergeCell ref="E16:F16"/>
    <mergeCell ref="C14:D14"/>
    <mergeCell ref="E14:F14"/>
    <mergeCell ref="C15:D15"/>
    <mergeCell ref="E15:F15"/>
    <mergeCell ref="E21:F21"/>
    <mergeCell ref="C21:D21"/>
    <mergeCell ref="C24:D24"/>
    <mergeCell ref="E24:F24"/>
    <mergeCell ref="B40:H40"/>
    <mergeCell ref="C37:D37"/>
    <mergeCell ref="E37:F37"/>
    <mergeCell ref="C36:D36"/>
    <mergeCell ref="E36:F36"/>
    <mergeCell ref="C32:D32"/>
    <mergeCell ref="B39:H39"/>
    <mergeCell ref="C28:D28"/>
    <mergeCell ref="E28:F28"/>
    <mergeCell ref="C29:D29"/>
    <mergeCell ref="E29:F29"/>
    <mergeCell ref="E32:F32"/>
    <mergeCell ref="C33:D33"/>
    <mergeCell ref="C34:D34"/>
    <mergeCell ref="E34:F34"/>
    <mergeCell ref="C35:D35"/>
    <mergeCell ref="E35:F35"/>
    <mergeCell ref="B41:H41"/>
    <mergeCell ref="B42:H42"/>
    <mergeCell ref="B43:H43"/>
    <mergeCell ref="E22:F22"/>
    <mergeCell ref="C22:D22"/>
    <mergeCell ref="C23:D23"/>
    <mergeCell ref="E23:F23"/>
    <mergeCell ref="C25:D25"/>
    <mergeCell ref="E25:F25"/>
    <mergeCell ref="E33:F33"/>
    <mergeCell ref="C31:D31"/>
    <mergeCell ref="C30:D30"/>
    <mergeCell ref="E30:F30"/>
    <mergeCell ref="E31:F31"/>
    <mergeCell ref="C26:D26"/>
    <mergeCell ref="E26:F26"/>
    <mergeCell ref="C13:D13"/>
    <mergeCell ref="E13:F13"/>
    <mergeCell ref="C17:D17"/>
    <mergeCell ref="E17:F17"/>
    <mergeCell ref="C20:D20"/>
    <mergeCell ref="C18:D18"/>
    <mergeCell ref="C19:D19"/>
    <mergeCell ref="E18:F18"/>
    <mergeCell ref="E19:F19"/>
    <mergeCell ref="E20:F20"/>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DF0BC-43C3-4444-8984-3048EDD043A4}">
  <dimension ref="A2:G11"/>
  <sheetViews>
    <sheetView workbookViewId="0">
      <selection activeCell="A2" sqref="A2:G11"/>
    </sheetView>
  </sheetViews>
  <sheetFormatPr baseColWidth="10" defaultRowHeight="15" x14ac:dyDescent="0.25"/>
  <cols>
    <col min="1" max="1" width="42.85546875" customWidth="1"/>
  </cols>
  <sheetData>
    <row r="2" spans="1:7" ht="15" customHeight="1" x14ac:dyDescent="0.25">
      <c r="A2" s="137" t="s">
        <v>238</v>
      </c>
      <c r="C2" t="s">
        <v>248</v>
      </c>
      <c r="G2" t="s">
        <v>306</v>
      </c>
    </row>
    <row r="3" spans="1:7" ht="15" customHeight="1" x14ac:dyDescent="0.25">
      <c r="A3" s="137" t="s">
        <v>246</v>
      </c>
      <c r="C3" t="s">
        <v>249</v>
      </c>
      <c r="G3" t="s">
        <v>307</v>
      </c>
    </row>
    <row r="4" spans="1:7" ht="15" customHeight="1" x14ac:dyDescent="0.25">
      <c r="A4" s="137" t="s">
        <v>239</v>
      </c>
      <c r="C4" t="s">
        <v>250</v>
      </c>
    </row>
    <row r="5" spans="1:7" ht="15" customHeight="1" x14ac:dyDescent="0.25">
      <c r="A5" s="137" t="s">
        <v>240</v>
      </c>
      <c r="C5" t="s">
        <v>251</v>
      </c>
    </row>
    <row r="6" spans="1:7" ht="15" customHeight="1" x14ac:dyDescent="0.25">
      <c r="A6" s="137" t="s">
        <v>241</v>
      </c>
    </row>
    <row r="7" spans="1:7" ht="15" customHeight="1" x14ac:dyDescent="0.25">
      <c r="A7" s="137" t="s">
        <v>242</v>
      </c>
    </row>
    <row r="8" spans="1:7" ht="15" customHeight="1" x14ac:dyDescent="0.25">
      <c r="A8" s="137" t="s">
        <v>243</v>
      </c>
    </row>
    <row r="9" spans="1:7" ht="15" customHeight="1" x14ac:dyDescent="0.25">
      <c r="A9" s="137" t="s">
        <v>244</v>
      </c>
    </row>
    <row r="10" spans="1:7" ht="15" customHeight="1" x14ac:dyDescent="0.25">
      <c r="A10" s="137" t="s">
        <v>247</v>
      </c>
    </row>
    <row r="11" spans="1:7" ht="15" customHeight="1" x14ac:dyDescent="0.25">
      <c r="A11" s="137" t="s">
        <v>245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6A278-95D5-4552-B93B-4F547B8F24B6}">
  <dimension ref="A1:D35"/>
  <sheetViews>
    <sheetView topLeftCell="A6" workbookViewId="0">
      <selection activeCell="C7" sqref="C7"/>
    </sheetView>
  </sheetViews>
  <sheetFormatPr baseColWidth="10" defaultRowHeight="15" x14ac:dyDescent="0.25"/>
  <cols>
    <col min="1" max="1" width="6.140625" customWidth="1"/>
    <col min="2" max="2" width="18.7109375" customWidth="1"/>
    <col min="3" max="3" width="83.42578125" customWidth="1"/>
  </cols>
  <sheetData>
    <row r="1" spans="1:4" ht="19.5" customHeight="1" x14ac:dyDescent="0.25">
      <c r="A1" s="504" t="s">
        <v>300</v>
      </c>
      <c r="B1" s="504"/>
      <c r="C1" s="504"/>
      <c r="D1" s="504"/>
    </row>
    <row r="2" spans="1:4" ht="35.1" customHeight="1" x14ac:dyDescent="0.25">
      <c r="A2" s="505"/>
      <c r="B2" s="505"/>
      <c r="C2" s="505"/>
      <c r="D2" s="505"/>
    </row>
    <row r="3" spans="1:4" ht="30" x14ac:dyDescent="0.25">
      <c r="A3" s="138" t="s">
        <v>252</v>
      </c>
      <c r="B3" s="139" t="s">
        <v>253</v>
      </c>
      <c r="C3" s="139" t="s">
        <v>254</v>
      </c>
      <c r="D3" s="139" t="s">
        <v>255</v>
      </c>
    </row>
    <row r="4" spans="1:4" x14ac:dyDescent="0.25">
      <c r="A4" s="140">
        <v>1</v>
      </c>
      <c r="B4" s="141" t="s">
        <v>128</v>
      </c>
      <c r="C4" s="142" t="s">
        <v>256</v>
      </c>
      <c r="D4" s="143" t="s">
        <v>206</v>
      </c>
    </row>
    <row r="5" spans="1:4" x14ac:dyDescent="0.25">
      <c r="A5" s="144">
        <f>1+A4</f>
        <v>2</v>
      </c>
      <c r="B5" s="143" t="s">
        <v>128</v>
      </c>
      <c r="C5" s="142" t="s">
        <v>257</v>
      </c>
      <c r="D5" s="143" t="s">
        <v>206</v>
      </c>
    </row>
    <row r="6" spans="1:4" x14ac:dyDescent="0.25">
      <c r="A6" s="144">
        <f t="shared" ref="A6:A19" si="0">1+A5</f>
        <v>3</v>
      </c>
      <c r="B6" s="143" t="s">
        <v>128</v>
      </c>
      <c r="C6" s="143" t="s">
        <v>258</v>
      </c>
      <c r="D6" s="143" t="s">
        <v>206</v>
      </c>
    </row>
    <row r="7" spans="1:4" x14ac:dyDescent="0.25">
      <c r="A7" s="144">
        <f t="shared" si="0"/>
        <v>4</v>
      </c>
      <c r="B7" s="143" t="s">
        <v>128</v>
      </c>
      <c r="C7" s="142" t="s">
        <v>259</v>
      </c>
      <c r="D7" s="143" t="s">
        <v>206</v>
      </c>
    </row>
    <row r="8" spans="1:4" x14ac:dyDescent="0.25">
      <c r="A8" s="144">
        <f t="shared" si="0"/>
        <v>5</v>
      </c>
      <c r="B8" s="143" t="s">
        <v>260</v>
      </c>
      <c r="C8" s="143" t="s">
        <v>261</v>
      </c>
      <c r="D8" s="143" t="s">
        <v>206</v>
      </c>
    </row>
    <row r="9" spans="1:4" x14ac:dyDescent="0.25">
      <c r="A9" s="144">
        <f>1+A8</f>
        <v>6</v>
      </c>
      <c r="B9" s="143" t="s">
        <v>262</v>
      </c>
      <c r="C9" s="143" t="s">
        <v>263</v>
      </c>
      <c r="D9" s="143" t="s">
        <v>206</v>
      </c>
    </row>
    <row r="10" spans="1:4" x14ac:dyDescent="0.25">
      <c r="A10" s="144">
        <f t="shared" si="0"/>
        <v>7</v>
      </c>
      <c r="B10" s="143" t="s">
        <v>264</v>
      </c>
      <c r="C10" s="143" t="s">
        <v>265</v>
      </c>
      <c r="D10" s="143" t="s">
        <v>206</v>
      </c>
    </row>
    <row r="11" spans="1:4" x14ac:dyDescent="0.25">
      <c r="A11" s="144">
        <f t="shared" si="0"/>
        <v>8</v>
      </c>
      <c r="B11" s="143" t="s">
        <v>262</v>
      </c>
      <c r="C11" s="142" t="s">
        <v>266</v>
      </c>
      <c r="D11" s="143" t="s">
        <v>206</v>
      </c>
    </row>
    <row r="12" spans="1:4" x14ac:dyDescent="0.25">
      <c r="A12" s="144">
        <f t="shared" si="0"/>
        <v>9</v>
      </c>
      <c r="B12" s="143" t="s">
        <v>267</v>
      </c>
      <c r="C12" s="143" t="s">
        <v>268</v>
      </c>
      <c r="D12" s="143" t="s">
        <v>206</v>
      </c>
    </row>
    <row r="13" spans="1:4" x14ac:dyDescent="0.25">
      <c r="A13" s="144">
        <f t="shared" si="0"/>
        <v>10</v>
      </c>
      <c r="B13" s="143" t="s">
        <v>269</v>
      </c>
      <c r="C13" s="143" t="s">
        <v>270</v>
      </c>
      <c r="D13" s="143" t="s">
        <v>206</v>
      </c>
    </row>
    <row r="14" spans="1:4" x14ac:dyDescent="0.25">
      <c r="A14" s="144">
        <f t="shared" si="0"/>
        <v>11</v>
      </c>
      <c r="B14" s="143" t="s">
        <v>269</v>
      </c>
      <c r="C14" s="142" t="s">
        <v>271</v>
      </c>
      <c r="D14" s="143" t="s">
        <v>206</v>
      </c>
    </row>
    <row r="15" spans="1:4" x14ac:dyDescent="0.25">
      <c r="A15" s="144">
        <f t="shared" si="0"/>
        <v>12</v>
      </c>
      <c r="B15" s="143" t="s">
        <v>272</v>
      </c>
      <c r="C15" s="143" t="s">
        <v>266</v>
      </c>
      <c r="D15" s="143" t="s">
        <v>206</v>
      </c>
    </row>
    <row r="16" spans="1:4" x14ac:dyDescent="0.25">
      <c r="A16" s="144">
        <f t="shared" si="0"/>
        <v>13</v>
      </c>
      <c r="B16" s="143" t="s">
        <v>272</v>
      </c>
      <c r="C16" s="143" t="s">
        <v>273</v>
      </c>
      <c r="D16" s="143" t="s">
        <v>206</v>
      </c>
    </row>
    <row r="17" spans="1:4" x14ac:dyDescent="0.25">
      <c r="A17" s="144">
        <f t="shared" si="0"/>
        <v>14</v>
      </c>
      <c r="B17" s="143" t="s">
        <v>274</v>
      </c>
      <c r="C17" s="143" t="s">
        <v>275</v>
      </c>
      <c r="D17" s="143" t="s">
        <v>206</v>
      </c>
    </row>
    <row r="18" spans="1:4" x14ac:dyDescent="0.25">
      <c r="A18" s="144">
        <f t="shared" si="0"/>
        <v>15</v>
      </c>
      <c r="B18" s="143" t="s">
        <v>276</v>
      </c>
      <c r="C18" s="142" t="s">
        <v>277</v>
      </c>
      <c r="D18" s="143" t="s">
        <v>206</v>
      </c>
    </row>
    <row r="19" spans="1:4" x14ac:dyDescent="0.25">
      <c r="A19" s="144">
        <f t="shared" si="0"/>
        <v>16</v>
      </c>
      <c r="B19" s="143" t="s">
        <v>278</v>
      </c>
      <c r="C19" s="143" t="s">
        <v>279</v>
      </c>
      <c r="D19" s="143" t="s">
        <v>206</v>
      </c>
    </row>
    <row r="20" spans="1:4" x14ac:dyDescent="0.25">
      <c r="A20" s="145"/>
      <c r="B20" s="146" t="s">
        <v>280</v>
      </c>
      <c r="C20" s="146" t="s">
        <v>281</v>
      </c>
      <c r="D20" s="146" t="s">
        <v>282</v>
      </c>
    </row>
    <row r="21" spans="1:4" x14ac:dyDescent="0.25">
      <c r="A21" s="145"/>
    </row>
    <row r="22" spans="1:4" ht="30" x14ac:dyDescent="0.25">
      <c r="A22" s="138" t="s">
        <v>252</v>
      </c>
      <c r="B22" s="139" t="s">
        <v>253</v>
      </c>
      <c r="C22" s="139" t="s">
        <v>254</v>
      </c>
      <c r="D22" s="139" t="s">
        <v>255</v>
      </c>
    </row>
    <row r="23" spans="1:4" x14ac:dyDescent="0.25">
      <c r="A23" s="140">
        <v>1</v>
      </c>
      <c r="B23" s="147" t="s">
        <v>283</v>
      </c>
      <c r="C23" s="147" t="s">
        <v>284</v>
      </c>
      <c r="D23" s="147" t="s">
        <v>285</v>
      </c>
    </row>
    <row r="24" spans="1:4" x14ac:dyDescent="0.25">
      <c r="A24" s="140">
        <f>A23+1</f>
        <v>2</v>
      </c>
      <c r="B24" s="147" t="s">
        <v>283</v>
      </c>
      <c r="C24" s="148" t="s">
        <v>286</v>
      </c>
      <c r="D24" s="147" t="s">
        <v>285</v>
      </c>
    </row>
    <row r="25" spans="1:4" x14ac:dyDescent="0.25">
      <c r="A25" s="140">
        <f t="shared" ref="A25:A35" si="1">A24+1</f>
        <v>3</v>
      </c>
      <c r="B25" s="147" t="s">
        <v>283</v>
      </c>
      <c r="C25" s="147" t="s">
        <v>287</v>
      </c>
      <c r="D25" s="149" t="s">
        <v>285</v>
      </c>
    </row>
    <row r="26" spans="1:4" x14ac:dyDescent="0.25">
      <c r="A26" s="140">
        <f t="shared" si="1"/>
        <v>4</v>
      </c>
      <c r="B26" s="147" t="s">
        <v>128</v>
      </c>
      <c r="C26" s="150" t="s">
        <v>288</v>
      </c>
      <c r="D26" s="149" t="s">
        <v>285</v>
      </c>
    </row>
    <row r="27" spans="1:4" x14ac:dyDescent="0.25">
      <c r="A27" s="140">
        <f t="shared" si="1"/>
        <v>5</v>
      </c>
      <c r="B27" s="147" t="s">
        <v>128</v>
      </c>
      <c r="C27" s="149" t="s">
        <v>289</v>
      </c>
      <c r="D27" s="147" t="s">
        <v>285</v>
      </c>
    </row>
    <row r="28" spans="1:4" x14ac:dyDescent="0.25">
      <c r="A28" s="140">
        <f t="shared" si="1"/>
        <v>6</v>
      </c>
      <c r="B28" s="147" t="s">
        <v>262</v>
      </c>
      <c r="C28" s="147" t="s">
        <v>290</v>
      </c>
      <c r="D28" s="147" t="s">
        <v>285</v>
      </c>
    </row>
    <row r="29" spans="1:4" x14ac:dyDescent="0.25">
      <c r="A29" s="140">
        <f t="shared" si="1"/>
        <v>7</v>
      </c>
      <c r="B29" s="147" t="s">
        <v>274</v>
      </c>
      <c r="C29" s="150" t="s">
        <v>291</v>
      </c>
      <c r="D29" s="147" t="s">
        <v>285</v>
      </c>
    </row>
    <row r="30" spans="1:4" x14ac:dyDescent="0.25">
      <c r="A30" s="140">
        <f t="shared" si="1"/>
        <v>8</v>
      </c>
      <c r="B30" s="147" t="s">
        <v>262</v>
      </c>
      <c r="C30" s="147" t="s">
        <v>292</v>
      </c>
      <c r="D30" s="147" t="s">
        <v>285</v>
      </c>
    </row>
    <row r="31" spans="1:4" x14ac:dyDescent="0.25">
      <c r="A31" s="140">
        <f t="shared" si="1"/>
        <v>9</v>
      </c>
      <c r="B31" s="147" t="s">
        <v>262</v>
      </c>
      <c r="C31" s="147" t="s">
        <v>293</v>
      </c>
      <c r="D31" s="147" t="s">
        <v>285</v>
      </c>
    </row>
    <row r="32" spans="1:4" x14ac:dyDescent="0.25">
      <c r="A32" s="140">
        <f t="shared" si="1"/>
        <v>10</v>
      </c>
      <c r="B32" s="147" t="s">
        <v>294</v>
      </c>
      <c r="C32" s="151" t="s">
        <v>295</v>
      </c>
      <c r="D32" s="147" t="s">
        <v>285</v>
      </c>
    </row>
    <row r="33" spans="1:4" x14ac:dyDescent="0.25">
      <c r="A33" s="140">
        <f t="shared" si="1"/>
        <v>11</v>
      </c>
      <c r="B33" s="147" t="s">
        <v>296</v>
      </c>
      <c r="C33" s="150" t="s">
        <v>297</v>
      </c>
      <c r="D33" s="147" t="s">
        <v>285</v>
      </c>
    </row>
    <row r="34" spans="1:4" x14ac:dyDescent="0.25">
      <c r="A34" s="140">
        <f t="shared" si="1"/>
        <v>12</v>
      </c>
      <c r="B34" s="150" t="s">
        <v>262</v>
      </c>
      <c r="C34" s="150" t="s">
        <v>298</v>
      </c>
      <c r="D34" s="147" t="s">
        <v>285</v>
      </c>
    </row>
    <row r="35" spans="1:4" x14ac:dyDescent="0.25">
      <c r="A35" s="140">
        <f t="shared" si="1"/>
        <v>13</v>
      </c>
      <c r="B35" s="147" t="s">
        <v>260</v>
      </c>
      <c r="C35" s="147" t="s">
        <v>299</v>
      </c>
      <c r="D35" s="147" t="s">
        <v>285</v>
      </c>
    </row>
  </sheetData>
  <mergeCells count="1">
    <mergeCell ref="A1:D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30</v>
      </c>
      <c r="E2" t="s">
        <v>128</v>
      </c>
    </row>
    <row r="3" spans="2:5" x14ac:dyDescent="0.25">
      <c r="B3" t="s">
        <v>31</v>
      </c>
      <c r="E3" t="s">
        <v>127</v>
      </c>
    </row>
    <row r="4" spans="2:5" x14ac:dyDescent="0.25">
      <c r="B4" t="s">
        <v>132</v>
      </c>
      <c r="E4" t="s">
        <v>129</v>
      </c>
    </row>
    <row r="5" spans="2:5" x14ac:dyDescent="0.25">
      <c r="B5" t="s">
        <v>131</v>
      </c>
    </row>
    <row r="8" spans="2:5" x14ac:dyDescent="0.25">
      <c r="B8" t="s">
        <v>83</v>
      </c>
    </row>
    <row r="9" spans="2:5" x14ac:dyDescent="0.25">
      <c r="B9" t="s">
        <v>39</v>
      </c>
    </row>
    <row r="10" spans="2:5" x14ac:dyDescent="0.25">
      <c r="B10" t="s">
        <v>40</v>
      </c>
    </row>
    <row r="13" spans="2:5" x14ac:dyDescent="0.25">
      <c r="B13" t="s">
        <v>126</v>
      </c>
    </row>
    <row r="14" spans="2:5" x14ac:dyDescent="0.25">
      <c r="B14" t="s">
        <v>120</v>
      </c>
    </row>
    <row r="15" spans="2:5" x14ac:dyDescent="0.25">
      <c r="B15" t="s">
        <v>123</v>
      </c>
    </row>
    <row r="16" spans="2:5" x14ac:dyDescent="0.25">
      <c r="B16" t="s">
        <v>121</v>
      </c>
    </row>
    <row r="17" spans="2:2" x14ac:dyDescent="0.25">
      <c r="B17" t="s">
        <v>122</v>
      </c>
    </row>
    <row r="18" spans="2:2" x14ac:dyDescent="0.25">
      <c r="B18" t="s">
        <v>124</v>
      </c>
    </row>
    <row r="19" spans="2:2" x14ac:dyDescent="0.25">
      <c r="B19" t="s">
        <v>125</v>
      </c>
    </row>
  </sheetData>
  <sortState xmlns:xlrd2="http://schemas.microsoft.com/office/spreadsheetml/2017/richdata2" ref="B2:B5">
    <sortCondition ref="B2:B5"/>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7" customWidth="1"/>
    <col min="2" max="16384" width="11.42578125" style="7"/>
  </cols>
  <sheetData>
    <row r="3" spans="1:1" x14ac:dyDescent="0.2">
      <c r="A3" s="8" t="s">
        <v>13</v>
      </c>
    </row>
    <row r="4" spans="1:1" x14ac:dyDescent="0.2">
      <c r="A4" s="8" t="s">
        <v>14</v>
      </c>
    </row>
    <row r="5" spans="1:1" x14ac:dyDescent="0.2">
      <c r="A5" s="8" t="s">
        <v>15</v>
      </c>
    </row>
    <row r="6" spans="1:1" x14ac:dyDescent="0.2">
      <c r="A6" s="8" t="s">
        <v>9</v>
      </c>
    </row>
    <row r="7" spans="1:1" x14ac:dyDescent="0.2">
      <c r="A7" s="8" t="s">
        <v>8</v>
      </c>
    </row>
    <row r="8" spans="1:1" x14ac:dyDescent="0.2">
      <c r="A8" s="8" t="s">
        <v>18</v>
      </c>
    </row>
    <row r="9" spans="1:1" x14ac:dyDescent="0.2">
      <c r="A9" s="8" t="s">
        <v>19</v>
      </c>
    </row>
    <row r="10" spans="1:1" x14ac:dyDescent="0.2">
      <c r="A10" s="8" t="s">
        <v>21</v>
      </c>
    </row>
    <row r="11" spans="1:1" x14ac:dyDescent="0.2">
      <c r="A11" s="8" t="s">
        <v>22</v>
      </c>
    </row>
    <row r="12" spans="1:1" x14ac:dyDescent="0.2">
      <c r="A12" s="8" t="s">
        <v>24</v>
      </c>
    </row>
    <row r="13" spans="1:1" x14ac:dyDescent="0.2">
      <c r="A13" s="8" t="s">
        <v>25</v>
      </c>
    </row>
    <row r="14" spans="1:1" x14ac:dyDescent="0.2">
      <c r="A14" s="8" t="s">
        <v>26</v>
      </c>
    </row>
    <row r="16" spans="1:1" x14ac:dyDescent="0.2">
      <c r="A16" s="8" t="s">
        <v>29</v>
      </c>
    </row>
    <row r="17" spans="1:1" x14ac:dyDescent="0.2">
      <c r="A17" s="8" t="s">
        <v>30</v>
      </c>
    </row>
    <row r="18" spans="1:1" x14ac:dyDescent="0.2">
      <c r="A18" s="8" t="s">
        <v>31</v>
      </c>
    </row>
    <row r="20" spans="1:1" x14ac:dyDescent="0.2">
      <c r="A20" s="8" t="s">
        <v>39</v>
      </c>
    </row>
    <row r="21" spans="1:1" x14ac:dyDescent="0.2">
      <c r="A21" s="8"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W154"/>
  <sheetViews>
    <sheetView tabSelected="1" topLeftCell="M5" zoomScale="70" zoomScaleNormal="70" workbookViewId="0">
      <selection activeCell="S6" sqref="S6"/>
    </sheetView>
  </sheetViews>
  <sheetFormatPr baseColWidth="10" defaultColWidth="11.42578125" defaultRowHeight="16.5" x14ac:dyDescent="0.3"/>
  <cols>
    <col min="1" max="1" width="4" style="2" bestFit="1" customWidth="1"/>
    <col min="2" max="2" width="14.140625" style="2" customWidth="1"/>
    <col min="3" max="5" width="31.85546875" style="2" customWidth="1"/>
    <col min="6" max="6" width="43.85546875" style="2" customWidth="1"/>
    <col min="7" max="7" width="31.85546875" style="2" customWidth="1"/>
    <col min="8" max="8" width="45.7109375" style="1" customWidth="1"/>
    <col min="9" max="9" width="19" style="5" customWidth="1"/>
    <col min="10" max="10" width="17.85546875" style="1" customWidth="1"/>
    <col min="11" max="11" width="16.42578125" style="1" customWidth="1"/>
    <col min="12" max="12" width="6.28515625" style="1" bestFit="1" customWidth="1"/>
    <col min="13" max="13" width="27.28515625" style="1" bestFit="1" customWidth="1"/>
    <col min="14" max="14" width="30.42578125" style="1" hidden="1" customWidth="1"/>
    <col min="15" max="15" width="17.42578125" style="1" customWidth="1"/>
    <col min="16" max="16" width="6.28515625" style="1" bestFit="1" customWidth="1"/>
    <col min="17" max="17" width="16" style="1" customWidth="1"/>
    <col min="18" max="18" width="5.85546875" style="1" customWidth="1"/>
    <col min="19" max="19" width="65.85546875" style="1" customWidth="1"/>
    <col min="20" max="20" width="15.140625" style="1" bestFit="1" customWidth="1"/>
    <col min="21" max="21" width="12.42578125" style="1" customWidth="1"/>
    <col min="22" max="22" width="13.85546875" style="1" customWidth="1"/>
    <col min="23" max="23" width="12.28515625" style="1" customWidth="1"/>
    <col min="24" max="24" width="16.85546875" style="1" customWidth="1"/>
    <col min="25" max="25" width="14.7109375" style="1" customWidth="1"/>
    <col min="26" max="26" width="16.7109375" style="1" customWidth="1"/>
    <col min="27" max="27" width="15.28515625" style="1" customWidth="1"/>
    <col min="28" max="28" width="13.140625" style="1" customWidth="1"/>
    <col min="29" max="29" width="10.42578125" style="1" customWidth="1"/>
    <col min="30" max="30" width="12.42578125" style="1" hidden="1" customWidth="1"/>
    <col min="31" max="31" width="9.140625" style="1" hidden="1" customWidth="1"/>
    <col min="32" max="32" width="12.7109375" style="1" hidden="1" customWidth="1"/>
    <col min="33" max="33" width="16.85546875" style="1" customWidth="1"/>
    <col min="34" max="34" width="62.140625" style="1" customWidth="1"/>
    <col min="35" max="35" width="17.7109375" style="1" customWidth="1"/>
    <col min="36" max="36" width="16.7109375" style="1" customWidth="1"/>
    <col min="37" max="37" width="61.85546875" style="1" customWidth="1"/>
    <col min="38" max="38" width="23" style="1" customWidth="1"/>
    <col min="39" max="39" width="18.85546875" style="1" customWidth="1"/>
    <col min="40" max="40" width="16.85546875" style="1" customWidth="1"/>
    <col min="41" max="41" width="14.85546875" style="1" customWidth="1"/>
    <col min="42" max="42" width="18.42578125" style="1" customWidth="1"/>
    <col min="43" max="43" width="21" style="1" customWidth="1"/>
    <col min="44" max="16384" width="11.42578125" style="1"/>
  </cols>
  <sheetData>
    <row r="1" spans="1:75" ht="16.5" customHeight="1" x14ac:dyDescent="0.3">
      <c r="A1" s="273"/>
      <c r="B1" s="273"/>
      <c r="C1" s="273"/>
      <c r="D1" s="273" t="s">
        <v>342</v>
      </c>
      <c r="E1" s="273"/>
      <c r="F1" s="273"/>
      <c r="G1" s="273"/>
      <c r="H1" s="273"/>
      <c r="I1" s="273"/>
      <c r="J1" s="273"/>
      <c r="K1" s="273"/>
      <c r="L1" s="273"/>
      <c r="M1" s="273"/>
      <c r="N1" s="273"/>
      <c r="O1" s="274"/>
      <c r="P1" s="275" t="s">
        <v>338</v>
      </c>
      <c r="Q1" s="275"/>
      <c r="R1" s="276" t="s">
        <v>339</v>
      </c>
      <c r="S1" s="276"/>
      <c r="T1" s="198"/>
      <c r="U1" s="198"/>
      <c r="V1" s="198"/>
      <c r="W1" s="198"/>
      <c r="X1" s="198"/>
      <c r="Y1" s="198"/>
      <c r="Z1" s="198"/>
      <c r="AA1" s="198"/>
      <c r="AB1" s="198"/>
      <c r="AC1" s="198"/>
      <c r="AD1" s="198"/>
      <c r="AE1" s="198"/>
      <c r="AF1" s="198"/>
      <c r="AG1" s="198"/>
      <c r="AH1" s="198"/>
      <c r="AI1" s="198"/>
      <c r="AJ1" s="198"/>
      <c r="AK1" s="198"/>
      <c r="AL1" s="198"/>
      <c r="AM1" s="198"/>
      <c r="AN1" s="198"/>
      <c r="AO1" s="198"/>
      <c r="AP1" s="198"/>
      <c r="AQ1" s="198"/>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row>
    <row r="2" spans="1:75" ht="24" customHeight="1" x14ac:dyDescent="0.3">
      <c r="A2" s="273"/>
      <c r="B2" s="273"/>
      <c r="C2" s="273"/>
      <c r="D2" s="273"/>
      <c r="E2" s="273"/>
      <c r="F2" s="273"/>
      <c r="G2" s="273"/>
      <c r="H2" s="273"/>
      <c r="I2" s="273"/>
      <c r="J2" s="273"/>
      <c r="K2" s="273"/>
      <c r="L2" s="273"/>
      <c r="M2" s="273"/>
      <c r="N2" s="273"/>
      <c r="O2" s="274"/>
      <c r="P2" s="275"/>
      <c r="Q2" s="275"/>
      <c r="R2" s="276"/>
      <c r="S2" s="276"/>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row>
    <row r="3" spans="1:75" ht="14.1" customHeight="1" x14ac:dyDescent="0.3">
      <c r="A3" s="273"/>
      <c r="B3" s="273"/>
      <c r="C3" s="273"/>
      <c r="D3" s="273"/>
      <c r="E3" s="273"/>
      <c r="F3" s="273"/>
      <c r="G3" s="273"/>
      <c r="H3" s="273"/>
      <c r="I3" s="273"/>
      <c r="J3" s="273"/>
      <c r="K3" s="273"/>
      <c r="L3" s="273"/>
      <c r="M3" s="273"/>
      <c r="N3" s="273"/>
      <c r="O3" s="274"/>
      <c r="P3" s="275" t="s">
        <v>340</v>
      </c>
      <c r="Q3" s="275"/>
      <c r="R3" s="276">
        <v>6</v>
      </c>
      <c r="S3" s="276"/>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row>
    <row r="4" spans="1:75" ht="26.25" customHeight="1" x14ac:dyDescent="0.3">
      <c r="A4" s="273"/>
      <c r="B4" s="273"/>
      <c r="C4" s="273"/>
      <c r="D4" s="273"/>
      <c r="E4" s="273"/>
      <c r="F4" s="273"/>
      <c r="G4" s="273"/>
      <c r="H4" s="273"/>
      <c r="I4" s="273"/>
      <c r="J4" s="273"/>
      <c r="K4" s="273"/>
      <c r="L4" s="273"/>
      <c r="M4" s="273"/>
      <c r="N4" s="273"/>
      <c r="O4" s="274"/>
      <c r="P4" s="275"/>
      <c r="Q4" s="275"/>
      <c r="R4" s="276"/>
      <c r="S4" s="276"/>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row>
    <row r="5" spans="1:75" ht="30" customHeight="1" x14ac:dyDescent="0.3">
      <c r="A5" s="273"/>
      <c r="B5" s="273"/>
      <c r="C5" s="273"/>
      <c r="D5" s="273"/>
      <c r="E5" s="273"/>
      <c r="F5" s="273"/>
      <c r="G5" s="273"/>
      <c r="H5" s="273"/>
      <c r="I5" s="273"/>
      <c r="J5" s="273"/>
      <c r="K5" s="273"/>
      <c r="L5" s="273"/>
      <c r="M5" s="273"/>
      <c r="N5" s="273"/>
      <c r="O5" s="274"/>
      <c r="P5" s="277" t="s">
        <v>341</v>
      </c>
      <c r="Q5" s="277"/>
      <c r="R5" s="278">
        <v>44398</v>
      </c>
      <c r="S5" s="278"/>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row>
    <row r="6" spans="1:75" ht="49.5" customHeight="1" x14ac:dyDescent="0.3">
      <c r="A6" s="299"/>
      <c r="B6" s="300"/>
      <c r="C6" s="301"/>
      <c r="D6" s="301"/>
      <c r="E6" s="301"/>
      <c r="F6" s="301"/>
      <c r="G6" s="301"/>
      <c r="H6" s="301"/>
      <c r="I6" s="301"/>
      <c r="J6" s="301"/>
      <c r="K6" s="301"/>
      <c r="L6" s="301"/>
      <c r="M6" s="301"/>
      <c r="N6" s="301"/>
      <c r="O6" s="301"/>
      <c r="P6" s="301"/>
      <c r="Q6" s="302"/>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row>
    <row r="7" spans="1:75" ht="24.95" customHeight="1" x14ac:dyDescent="0.3">
      <c r="A7" s="319" t="s">
        <v>134</v>
      </c>
      <c r="B7" s="319"/>
      <c r="C7" s="319"/>
      <c r="D7" s="319"/>
      <c r="E7" s="319"/>
      <c r="F7" s="319"/>
      <c r="G7" s="319"/>
      <c r="H7" s="319"/>
      <c r="I7" s="319"/>
      <c r="J7" s="319"/>
      <c r="K7" s="319" t="s">
        <v>135</v>
      </c>
      <c r="L7" s="319"/>
      <c r="M7" s="319"/>
      <c r="N7" s="319"/>
      <c r="O7" s="319"/>
      <c r="P7" s="319"/>
      <c r="Q7" s="319"/>
      <c r="R7" s="319" t="s">
        <v>136</v>
      </c>
      <c r="S7" s="319"/>
      <c r="T7" s="319"/>
      <c r="U7" s="319"/>
      <c r="V7" s="319"/>
      <c r="W7" s="319"/>
      <c r="X7" s="319"/>
      <c r="Y7" s="319"/>
      <c r="Z7" s="319"/>
      <c r="AA7" s="319" t="s">
        <v>137</v>
      </c>
      <c r="AB7" s="319"/>
      <c r="AC7" s="319"/>
      <c r="AD7" s="319"/>
      <c r="AE7" s="319"/>
      <c r="AF7" s="319"/>
      <c r="AG7" s="319"/>
      <c r="AH7" s="309" t="s">
        <v>301</v>
      </c>
      <c r="AI7" s="309"/>
      <c r="AJ7" s="309"/>
      <c r="AK7" s="309"/>
      <c r="AL7" s="309" t="s">
        <v>33</v>
      </c>
      <c r="AM7" s="309"/>
      <c r="AN7" s="309"/>
      <c r="AO7" s="309"/>
      <c r="AP7" s="309"/>
      <c r="AQ7" s="309"/>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row>
    <row r="8" spans="1:75" ht="16.5" customHeight="1" x14ac:dyDescent="0.3">
      <c r="A8" s="310" t="s">
        <v>0</v>
      </c>
      <c r="B8" s="315" t="s">
        <v>2</v>
      </c>
      <c r="C8" s="286" t="s">
        <v>234</v>
      </c>
      <c r="D8" s="286" t="s">
        <v>237</v>
      </c>
      <c r="E8" s="286" t="s">
        <v>235</v>
      </c>
      <c r="F8" s="286" t="s">
        <v>236</v>
      </c>
      <c r="G8" s="315" t="s">
        <v>1</v>
      </c>
      <c r="H8" s="315" t="s">
        <v>308</v>
      </c>
      <c r="I8" s="286" t="s">
        <v>47</v>
      </c>
      <c r="J8" s="286" t="s">
        <v>130</v>
      </c>
      <c r="K8" s="286" t="s">
        <v>32</v>
      </c>
      <c r="L8" s="315" t="s">
        <v>4</v>
      </c>
      <c r="M8" s="286" t="s">
        <v>84</v>
      </c>
      <c r="N8" s="286" t="s">
        <v>89</v>
      </c>
      <c r="O8" s="286" t="s">
        <v>42</v>
      </c>
      <c r="P8" s="315" t="s">
        <v>4</v>
      </c>
      <c r="Q8" s="286" t="s">
        <v>45</v>
      </c>
      <c r="R8" s="322" t="s">
        <v>10</v>
      </c>
      <c r="S8" s="286" t="s">
        <v>156</v>
      </c>
      <c r="T8" s="286" t="s">
        <v>11</v>
      </c>
      <c r="U8" s="286" t="s">
        <v>7</v>
      </c>
      <c r="V8" s="286"/>
      <c r="W8" s="286"/>
      <c r="X8" s="286"/>
      <c r="Y8" s="286"/>
      <c r="Z8" s="286"/>
      <c r="AA8" s="286" t="s">
        <v>133</v>
      </c>
      <c r="AB8" s="286" t="s">
        <v>43</v>
      </c>
      <c r="AC8" s="286" t="s">
        <v>4</v>
      </c>
      <c r="AD8" s="286" t="s">
        <v>44</v>
      </c>
      <c r="AE8" s="286" t="s">
        <v>4</v>
      </c>
      <c r="AF8" s="286" t="s">
        <v>46</v>
      </c>
      <c r="AG8" s="286" t="s">
        <v>28</v>
      </c>
      <c r="AH8" s="286" t="s">
        <v>302</v>
      </c>
      <c r="AI8" s="286" t="s">
        <v>303</v>
      </c>
      <c r="AJ8" s="286" t="s">
        <v>304</v>
      </c>
      <c r="AK8" s="286" t="s">
        <v>305</v>
      </c>
      <c r="AL8" s="286" t="s">
        <v>33</v>
      </c>
      <c r="AM8" s="286" t="s">
        <v>34</v>
      </c>
      <c r="AN8" s="286" t="s">
        <v>35</v>
      </c>
      <c r="AO8" s="286" t="s">
        <v>37</v>
      </c>
      <c r="AP8" s="286" t="s">
        <v>36</v>
      </c>
      <c r="AQ8" s="286" t="s">
        <v>38</v>
      </c>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row>
    <row r="9" spans="1:75" s="4" customFormat="1" ht="94.5" customHeight="1" x14ac:dyDescent="0.25">
      <c r="A9" s="310"/>
      <c r="B9" s="315"/>
      <c r="C9" s="286"/>
      <c r="D9" s="286"/>
      <c r="E9" s="286"/>
      <c r="F9" s="286"/>
      <c r="G9" s="315"/>
      <c r="H9" s="315"/>
      <c r="I9" s="286"/>
      <c r="J9" s="286"/>
      <c r="K9" s="286"/>
      <c r="L9" s="315"/>
      <c r="M9" s="286"/>
      <c r="N9" s="286"/>
      <c r="O9" s="315"/>
      <c r="P9" s="315"/>
      <c r="Q9" s="286"/>
      <c r="R9" s="322"/>
      <c r="S9" s="286"/>
      <c r="T9" s="286"/>
      <c r="U9" s="200" t="s">
        <v>12</v>
      </c>
      <c r="V9" s="200" t="s">
        <v>16</v>
      </c>
      <c r="W9" s="200" t="s">
        <v>27</v>
      </c>
      <c r="X9" s="200" t="s">
        <v>17</v>
      </c>
      <c r="Y9" s="200" t="s">
        <v>20</v>
      </c>
      <c r="Z9" s="200" t="s">
        <v>23</v>
      </c>
      <c r="AA9" s="286"/>
      <c r="AB9" s="286"/>
      <c r="AC9" s="286"/>
      <c r="AD9" s="286"/>
      <c r="AE9" s="286"/>
      <c r="AF9" s="286"/>
      <c r="AG9" s="286"/>
      <c r="AH9" s="286"/>
      <c r="AI9" s="286"/>
      <c r="AJ9" s="286"/>
      <c r="AK9" s="286"/>
      <c r="AL9" s="286"/>
      <c r="AM9" s="286"/>
      <c r="AN9" s="286"/>
      <c r="AO9" s="286"/>
      <c r="AP9" s="286"/>
      <c r="AQ9" s="286"/>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row>
    <row r="10" spans="1:75" s="3" customFormat="1" ht="35.1" customHeight="1" x14ac:dyDescent="0.25">
      <c r="A10" s="313">
        <v>1</v>
      </c>
      <c r="B10" s="293" t="s">
        <v>127</v>
      </c>
      <c r="C10" s="293" t="s">
        <v>238</v>
      </c>
      <c r="D10" s="293" t="s">
        <v>248</v>
      </c>
      <c r="E10" s="293" t="s">
        <v>277</v>
      </c>
      <c r="F10" s="184" t="s">
        <v>333</v>
      </c>
      <c r="G10" s="297" t="s">
        <v>332</v>
      </c>
      <c r="H10" s="153" t="s">
        <v>334</v>
      </c>
      <c r="I10" s="293" t="s">
        <v>120</v>
      </c>
      <c r="J10" s="295">
        <v>2</v>
      </c>
      <c r="K10" s="288" t="str">
        <f>IF(J10&lt;=0,"",IF(J10&lt;=2,"Muy Baja",IF(J10&lt;=24,"Baja",IF(J10&lt;=500,"Media",IF(J10&lt;=5000,"Alta","Muy Alta")))))</f>
        <v>Muy Baja</v>
      </c>
      <c r="L10" s="291">
        <f>IF(K10="","",IF(K10="Muy Baja",0.2,IF(K10="Baja",0.4,IF(K10="Media",0.6,IF(K10="Alta",0.8,IF(K10="Muy Alta",1,))))))</f>
        <v>0.2</v>
      </c>
      <c r="M10" s="303" t="s">
        <v>149</v>
      </c>
      <c r="N10" s="291" t="str">
        <f>IF(NOT(ISERROR(MATCH(M10,'Tabla Impacto'!$B$221:$B$223,0))),'Tabla Impacto'!$F$223&amp;"Por favor no seleccionar los criterios de impacto(Afectación Económica o presupuestal y Pérdida Reputacional)",M10)</f>
        <v xml:space="preserve">     El riesgo afecta la imagen de de la entidad con efecto publicitario sostenido a nivel de sector administrativo, nivel departamental o municipal</v>
      </c>
      <c r="O10" s="288" t="str">
        <f>IF(OR(N10='Tabla Impacto'!$C$11,N10='Tabla Impacto'!$D$11),"Leve",IF(OR(N10='Tabla Impacto'!$C$12,N10='Tabla Impacto'!$D$12),"Menor",IF(OR(N10='Tabla Impacto'!$C$13,N10='Tabla Impacto'!$D$13),"Moderado",IF(OR(N10='Tabla Impacto'!$C$14,N10='Tabla Impacto'!$D$14),"Mayor",IF(OR(N10='Tabla Impacto'!$C$15,N10='Tabla Impacto'!$D$15),"Catastrófico","")))))</f>
        <v>Mayor</v>
      </c>
      <c r="P10" s="291">
        <f>IF(O10="","",IF(O10="Leve",0.2,IF(O10="Menor",0.4,IF(O10="Moderado",0.6,IF(O10="Mayor",0.8,IF(O10="Catastrófico",1,))))))</f>
        <v>0.8</v>
      </c>
      <c r="Q10" s="284"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Alto</v>
      </c>
      <c r="R10" s="154">
        <v>1</v>
      </c>
      <c r="S10" s="182" t="s">
        <v>337</v>
      </c>
      <c r="T10" s="155" t="str">
        <f>IF(OR(U10="Preventivo",U10="Detectivo"),"Probabilidad",IF(U10="Correctivo","Impacto",""))</f>
        <v>Probabilidad</v>
      </c>
      <c r="U10" s="156" t="s">
        <v>13</v>
      </c>
      <c r="V10" s="156" t="s">
        <v>8</v>
      </c>
      <c r="W10" s="157" t="str">
        <f>IF(AND(U10="Preventivo",V10="Automático"),"50%",IF(AND(U10="Preventivo",V10="Manual"),"40%",IF(AND(U10="Detectivo",V10="Automático"),"40%",IF(AND(U10="Detectivo",V10="Manual"),"30%",IF(AND(U10="Correctivo",V10="Automático"),"35%",IF(AND(U10="Correctivo",V10="Manual"),"25%",""))))))</f>
        <v>40%</v>
      </c>
      <c r="X10" s="156" t="s">
        <v>18</v>
      </c>
      <c r="Y10" s="156" t="s">
        <v>22</v>
      </c>
      <c r="Z10" s="156" t="s">
        <v>116</v>
      </c>
      <c r="AA10" s="158">
        <f>IFERROR(IF(T10="Probabilidad",(L10-(+L10*W10)),IF(T10="Impacto",L10,"")),"")</f>
        <v>0.12</v>
      </c>
      <c r="AB10" s="159" t="str">
        <f>IFERROR(IF(AA10="","",IF(AA10&lt;=0.2,"Muy Baja",IF(AA10&lt;=0.4,"Baja",IF(AA10&lt;=0.6,"Media",IF(AA10&lt;=0.8,"Alta","Muy Alta"))))),"")</f>
        <v>Muy Baja</v>
      </c>
      <c r="AC10" s="160">
        <f>+AA10</f>
        <v>0.12</v>
      </c>
      <c r="AD10" s="159" t="str">
        <f>IFERROR(IF(AE10="","",IF(AE10&lt;=0.2,"Leve",IF(AE10&lt;=0.4,"Menor",IF(AE10&lt;=0.6,"Moderado",IF(AE10&lt;=0.8,"Mayor","Catastrófico"))))),"")</f>
        <v>Mayor</v>
      </c>
      <c r="AE10" s="160">
        <f>IFERROR(IF(T10="Impacto",(P10-(+P10*W10)),IF(T10="Probabilidad",P10,"")),"")</f>
        <v>0.8</v>
      </c>
      <c r="AF10" s="161" t="str">
        <f>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Alto</v>
      </c>
      <c r="AG10" s="321" t="s">
        <v>131</v>
      </c>
      <c r="AH10" s="162" t="s">
        <v>345</v>
      </c>
      <c r="AI10" s="162" t="s">
        <v>306</v>
      </c>
      <c r="AJ10" s="162" t="s">
        <v>307</v>
      </c>
      <c r="AK10" s="162" t="s">
        <v>343</v>
      </c>
      <c r="AL10" s="162" t="s">
        <v>343</v>
      </c>
      <c r="AM10" s="162" t="s">
        <v>343</v>
      </c>
      <c r="AN10" s="162" t="s">
        <v>343</v>
      </c>
      <c r="AO10" s="162" t="s">
        <v>343</v>
      </c>
      <c r="AP10" s="162"/>
      <c r="AQ10" s="156" t="s">
        <v>39</v>
      </c>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row>
    <row r="11" spans="1:75" ht="35.1" customHeight="1" x14ac:dyDescent="0.3">
      <c r="A11" s="313"/>
      <c r="B11" s="293"/>
      <c r="C11" s="293"/>
      <c r="D11" s="293"/>
      <c r="E11" s="293"/>
      <c r="F11" s="184" t="s">
        <v>336</v>
      </c>
      <c r="G11" s="282"/>
      <c r="H11" s="153" t="s">
        <v>335</v>
      </c>
      <c r="I11" s="293"/>
      <c r="J11" s="295"/>
      <c r="K11" s="288"/>
      <c r="L11" s="291"/>
      <c r="M11" s="303"/>
      <c r="N11" s="291">
        <f>IF(NOT(ISERROR(MATCH(M11,_xlfn.ANCHORARRAY(#REF!),0))),#REF!&amp;"Por favor no seleccionar los criterios de impacto",M11)</f>
        <v>0</v>
      </c>
      <c r="O11" s="288"/>
      <c r="P11" s="291"/>
      <c r="Q11" s="284"/>
      <c r="R11" s="163">
        <v>2</v>
      </c>
      <c r="S11" s="183"/>
      <c r="T11" s="164" t="str">
        <f>IF(OR(U11="Preventivo",U11="Detectivo"),"Probabilidad",IF(U11="Correctivo","Impacto",""))</f>
        <v/>
      </c>
      <c r="U11" s="165"/>
      <c r="V11" s="165"/>
      <c r="W11" s="166" t="str">
        <f t="shared" ref="W11:W15" si="0">IF(AND(U11="Preventivo",V11="Automático"),"50%",IF(AND(U11="Preventivo",V11="Manual"),"40%",IF(AND(U11="Detectivo",V11="Automático"),"40%",IF(AND(U11="Detectivo",V11="Manual"),"30%",IF(AND(U11="Correctivo",V11="Automático"),"35%",IF(AND(U11="Correctivo",V11="Manual"),"25%",""))))))</f>
        <v/>
      </c>
      <c r="X11" s="165"/>
      <c r="Y11" s="165"/>
      <c r="Z11" s="165"/>
      <c r="AA11" s="167" t="str">
        <f>IFERROR(IF(AND(T10="Probabilidad",T11="Probabilidad"),(AC10-(+AC10*W11)),IF(T11="Probabilidad",(L10-(+L10*W11)),IF(T11="Impacto",AC10,""))),"")</f>
        <v/>
      </c>
      <c r="AB11" s="168" t="str">
        <f t="shared" ref="AB11:AB39" si="1">IFERROR(IF(AA11="","",IF(AA11&lt;=0.2,"Muy Baja",IF(AA11&lt;=0.4,"Baja",IF(AA11&lt;=0.6,"Media",IF(AA11&lt;=0.8,"Alta","Muy Alta"))))),"")</f>
        <v/>
      </c>
      <c r="AC11" s="169" t="str">
        <f t="shared" ref="AC11:AC15" si="2">+AA11</f>
        <v/>
      </c>
      <c r="AD11" s="168" t="str">
        <f t="shared" ref="AD11:AD38" si="3">IFERROR(IF(AE11="","",IF(AE11&lt;=0.2,"Leve",IF(AE11&lt;=0.4,"Menor",IF(AE11&lt;=0.6,"Moderado",IF(AE11&lt;=0.8,"Mayor","Catastrófico"))))),"")</f>
        <v/>
      </c>
      <c r="AE11" s="169" t="str">
        <f>IFERROR(IF(AND(T10="Impacto",T11="Impacto"),(AE10-(+AE10*W11)),IF(T11="Impacto",(P10-(+P10*W11)),IF(T11="Probabilidad",AE10,""))),"")</f>
        <v/>
      </c>
      <c r="AF11" s="170" t="str">
        <f t="shared" ref="AF11:AF15" si="4">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280"/>
      <c r="AH11" s="172"/>
      <c r="AI11" s="172"/>
      <c r="AJ11" s="172"/>
      <c r="AK11" s="162"/>
      <c r="AL11" s="162"/>
      <c r="AM11" s="162"/>
      <c r="AN11" s="162"/>
      <c r="AO11" s="162"/>
      <c r="AP11" s="162"/>
      <c r="AQ11" s="165"/>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row>
    <row r="12" spans="1:75" ht="35.1" customHeight="1" x14ac:dyDescent="0.3">
      <c r="A12" s="313"/>
      <c r="B12" s="293"/>
      <c r="C12" s="293"/>
      <c r="D12" s="293"/>
      <c r="E12" s="293"/>
      <c r="F12" s="152"/>
      <c r="G12" s="282"/>
      <c r="H12" s="153"/>
      <c r="I12" s="293"/>
      <c r="J12" s="295"/>
      <c r="K12" s="288"/>
      <c r="L12" s="291"/>
      <c r="M12" s="303"/>
      <c r="N12" s="291">
        <f>IF(NOT(ISERROR(MATCH(M12,_xlfn.ANCHORARRAY(#REF!),0))),#REF!&amp;"Por favor no seleccionar los criterios de impacto",M12)</f>
        <v>0</v>
      </c>
      <c r="O12" s="288"/>
      <c r="P12" s="291"/>
      <c r="Q12" s="284"/>
      <c r="R12" s="163">
        <v>3</v>
      </c>
      <c r="S12" s="174"/>
      <c r="T12" s="164" t="str">
        <f>IF(OR(U12="Preventivo",U12="Detectivo"),"Probabilidad",IF(U12="Correctivo","Impacto",""))</f>
        <v/>
      </c>
      <c r="U12" s="165"/>
      <c r="V12" s="165"/>
      <c r="W12" s="166" t="str">
        <f t="shared" si="0"/>
        <v/>
      </c>
      <c r="X12" s="165"/>
      <c r="Y12" s="165"/>
      <c r="Z12" s="165"/>
      <c r="AA12" s="167" t="str">
        <f>IFERROR(IF(AND(T11="Probabilidad",T12="Probabilidad"),(AC11-(+AC11*W12)),IF(AND(T11="Impacto",T12="Probabilidad"),(AC10-(+AC10*W12)),IF(T12="Impacto",AC11,""))),"")</f>
        <v/>
      </c>
      <c r="AB12" s="168" t="str">
        <f t="shared" si="1"/>
        <v/>
      </c>
      <c r="AC12" s="169" t="str">
        <f t="shared" si="2"/>
        <v/>
      </c>
      <c r="AD12" s="168" t="str">
        <f t="shared" si="3"/>
        <v/>
      </c>
      <c r="AE12" s="169" t="str">
        <f>IFERROR(IF(AND(T11="Impacto",T12="Impacto"),(AE11-(+AE11*W12)),IF(AND(T11="Probabilidad",T12="Impacto"),(AE10-(+AE10*W12)),IF(T12="Probabilidad",AE11,""))),"")</f>
        <v/>
      </c>
      <c r="AF12" s="170" t="str">
        <f t="shared" si="4"/>
        <v/>
      </c>
      <c r="AG12" s="171"/>
      <c r="AH12" s="172"/>
      <c r="AI12" s="172"/>
      <c r="AJ12" s="172"/>
      <c r="AK12" s="162"/>
      <c r="AL12" s="162"/>
      <c r="AM12" s="162"/>
      <c r="AN12" s="162"/>
      <c r="AO12" s="162"/>
      <c r="AP12" s="162"/>
      <c r="AQ12" s="165"/>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row>
    <row r="13" spans="1:75" ht="35.1" customHeight="1" x14ac:dyDescent="0.3">
      <c r="A13" s="313"/>
      <c r="B13" s="293"/>
      <c r="C13" s="293"/>
      <c r="D13" s="293"/>
      <c r="E13" s="293"/>
      <c r="F13" s="152"/>
      <c r="G13" s="282"/>
      <c r="H13" s="153"/>
      <c r="I13" s="293"/>
      <c r="J13" s="295"/>
      <c r="K13" s="288"/>
      <c r="L13" s="291"/>
      <c r="M13" s="303"/>
      <c r="N13" s="291">
        <f>IF(NOT(ISERROR(MATCH(M13,_xlfn.ANCHORARRAY(#REF!),0))),#REF!&amp;"Por favor no seleccionar los criterios de impacto",M13)</f>
        <v>0</v>
      </c>
      <c r="O13" s="288"/>
      <c r="P13" s="291"/>
      <c r="Q13" s="284"/>
      <c r="R13" s="163">
        <v>4</v>
      </c>
      <c r="S13" s="183"/>
      <c r="T13" s="164" t="str">
        <f t="shared" ref="T13:T15" si="5">IF(OR(U13="Preventivo",U13="Detectivo"),"Probabilidad",IF(U13="Correctivo","Impacto",""))</f>
        <v/>
      </c>
      <c r="U13" s="165"/>
      <c r="V13" s="165"/>
      <c r="W13" s="166" t="str">
        <f t="shared" si="0"/>
        <v/>
      </c>
      <c r="X13" s="165"/>
      <c r="Y13" s="165"/>
      <c r="Z13" s="165"/>
      <c r="AA13" s="167" t="str">
        <f>IFERROR(IF(AND(T12="Probabilidad",T13="Probabilidad"),(AC12-(+AC12*W13)),IF(AND(T12="Impacto",T13="Probabilidad"),(AC11-(+AC11*W13)),IF(T13="Impacto",AC12,""))),"")</f>
        <v/>
      </c>
      <c r="AB13" s="168" t="str">
        <f t="shared" si="1"/>
        <v/>
      </c>
      <c r="AC13" s="169" t="str">
        <f t="shared" si="2"/>
        <v/>
      </c>
      <c r="AD13" s="168" t="str">
        <f t="shared" si="3"/>
        <v/>
      </c>
      <c r="AE13" s="169" t="str">
        <f>IFERROR(IF(AND(T12="Impacto",T13="Impacto"),(AE12-(+AE12*W13)),IF(AND(T12="Probabilidad",T13="Impacto"),(AE11-(+AE11*W13)),IF(T13="Probabilidad",AE12,""))),"")</f>
        <v/>
      </c>
      <c r="AF13" s="170" t="str">
        <f>IFERROR(IF(OR(AND(AB13="Muy Baja",AD13="Leve"),AND(AB13="Muy Baja",AD13="Menor"),AND(AB13="Baja",AD13="Leve")),"Bajo",IF(OR(AND(AB13="Muy baja",AD13="Moderado"),AND(AB13="Baja",AD13="Menor"),AND(AB13="Baja",AD13="Moderado"),AND(AB13="Media",AD13="Leve"),AND(AB13="Media",AD13="Menor"),AND(AB13="Media",AD13="Moderado"),AND(AB13="Alta",AD13="Leve"),AND(AB13="Alta",AD13="Menor")),"Moderado",IF(OR(AND(AB13="Muy Baja",AD13="Mayor"),AND(AB13="Baja",AD13="Mayor"),AND(AB13="Media",AD13="Mayor"),AND(AB13="Alta",AD13="Moderado"),AND(AB13="Alta",AD13="Mayor"),AND(AB13="Muy Alta",AD13="Leve"),AND(AB13="Muy Alta",AD13="Menor"),AND(AB13="Muy Alta",AD13="Moderado"),AND(AB13="Muy Alta",AD13="Mayor")),"Alto",IF(OR(AND(AB13="Muy Baja",AD13="Catastrófico"),AND(AB13="Baja",AD13="Catastrófico"),AND(AB13="Media",AD13="Catastrófico"),AND(AB13="Alta",AD13="Catastrófico"),AND(AB13="Muy Alta",AD13="Catastrófico")),"Extremo","")))),"")</f>
        <v/>
      </c>
      <c r="AG13" s="171"/>
      <c r="AH13" s="172"/>
      <c r="AI13" s="172"/>
      <c r="AJ13" s="172"/>
      <c r="AK13" s="172"/>
      <c r="AL13" s="172"/>
      <c r="AM13" s="165"/>
      <c r="AN13" s="173"/>
      <c r="AO13" s="173"/>
      <c r="AP13" s="172"/>
      <c r="AQ13" s="165"/>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row>
    <row r="14" spans="1:75" ht="35.1" customHeight="1" x14ac:dyDescent="0.3">
      <c r="A14" s="313"/>
      <c r="B14" s="293"/>
      <c r="C14" s="293"/>
      <c r="D14" s="293"/>
      <c r="E14" s="293"/>
      <c r="F14" s="152"/>
      <c r="G14" s="282"/>
      <c r="H14" s="153"/>
      <c r="I14" s="293"/>
      <c r="J14" s="295"/>
      <c r="K14" s="288"/>
      <c r="L14" s="291"/>
      <c r="M14" s="303"/>
      <c r="N14" s="291">
        <f>IF(NOT(ISERROR(MATCH(M14,_xlfn.ANCHORARRAY(#REF!),0))),#REF!&amp;"Por favor no seleccionar los criterios de impacto",M14)</f>
        <v>0</v>
      </c>
      <c r="O14" s="288"/>
      <c r="P14" s="291"/>
      <c r="Q14" s="284"/>
      <c r="R14" s="163">
        <v>5</v>
      </c>
      <c r="S14" s="183"/>
      <c r="T14" s="164" t="str">
        <f t="shared" si="5"/>
        <v/>
      </c>
      <c r="U14" s="165"/>
      <c r="V14" s="165"/>
      <c r="W14" s="166" t="str">
        <f t="shared" si="0"/>
        <v/>
      </c>
      <c r="X14" s="165"/>
      <c r="Y14" s="165"/>
      <c r="Z14" s="165"/>
      <c r="AA14" s="167" t="str">
        <f>IFERROR(IF(AND(T13="Probabilidad",T14="Probabilidad"),(AC13-(+AC13*W14)),IF(AND(T13="Impacto",T14="Probabilidad"),(AC12-(+AC12*W14)),IF(T14="Impacto",AC13,""))),"")</f>
        <v/>
      </c>
      <c r="AB14" s="168" t="str">
        <f t="shared" si="1"/>
        <v/>
      </c>
      <c r="AC14" s="169" t="str">
        <f t="shared" si="2"/>
        <v/>
      </c>
      <c r="AD14" s="168" t="str">
        <f t="shared" si="3"/>
        <v/>
      </c>
      <c r="AE14" s="169" t="str">
        <f>IFERROR(IF(AND(T13="Impacto",T14="Impacto"),(AE13-(+AE13*W14)),IF(AND(T13="Probabilidad",T14="Impacto"),(AE12-(+AE12*W14)),IF(T14="Probabilidad",AE13,""))),"")</f>
        <v/>
      </c>
      <c r="AF14" s="170" t="str">
        <f t="shared" si="4"/>
        <v/>
      </c>
      <c r="AG14" s="171"/>
      <c r="AH14" s="172"/>
      <c r="AI14" s="172"/>
      <c r="AJ14" s="172"/>
      <c r="AK14" s="172"/>
      <c r="AL14" s="172"/>
      <c r="AM14" s="165"/>
      <c r="AN14" s="173"/>
      <c r="AO14" s="173"/>
      <c r="AP14" s="172"/>
      <c r="AQ14" s="165"/>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row>
    <row r="15" spans="1:75" ht="35.1" customHeight="1" x14ac:dyDescent="0.3">
      <c r="A15" s="314"/>
      <c r="B15" s="294"/>
      <c r="C15" s="294"/>
      <c r="D15" s="294"/>
      <c r="E15" s="294"/>
      <c r="F15" s="162"/>
      <c r="G15" s="298"/>
      <c r="H15" s="175"/>
      <c r="I15" s="294"/>
      <c r="J15" s="296"/>
      <c r="K15" s="289"/>
      <c r="L15" s="292"/>
      <c r="M15" s="304"/>
      <c r="N15" s="292">
        <f>IF(NOT(ISERROR(MATCH(M15,_xlfn.ANCHORARRAY(#REF!),0))),L22&amp;"Por favor no seleccionar los criterios de impacto",M15)</f>
        <v>0</v>
      </c>
      <c r="O15" s="289"/>
      <c r="P15" s="292"/>
      <c r="Q15" s="285"/>
      <c r="R15" s="163">
        <v>6</v>
      </c>
      <c r="S15" s="183"/>
      <c r="T15" s="164" t="str">
        <f t="shared" si="5"/>
        <v/>
      </c>
      <c r="U15" s="165"/>
      <c r="V15" s="165"/>
      <c r="W15" s="166" t="str">
        <f t="shared" si="0"/>
        <v/>
      </c>
      <c r="X15" s="165"/>
      <c r="Y15" s="165"/>
      <c r="Z15" s="165"/>
      <c r="AA15" s="167" t="str">
        <f>IFERROR(IF(AND(T14="Probabilidad",T15="Probabilidad"),(AC14-(+AC14*W15)),IF(AND(T14="Impacto",T15="Probabilidad"),(AC13-(+AC13*W15)),IF(T15="Impacto",AC14,""))),"")</f>
        <v/>
      </c>
      <c r="AB15" s="168" t="str">
        <f t="shared" si="1"/>
        <v/>
      </c>
      <c r="AC15" s="169" t="str">
        <f t="shared" si="2"/>
        <v/>
      </c>
      <c r="AD15" s="168" t="str">
        <f t="shared" si="3"/>
        <v/>
      </c>
      <c r="AE15" s="169" t="str">
        <f>IFERROR(IF(AND(T14="Impacto",T15="Impacto"),(AE14-(+AE14*W15)),IF(AND(T14="Probabilidad",T15="Impacto"),(AE13-(+AE13*W15)),IF(T15="Probabilidad",AE14,""))),"")</f>
        <v/>
      </c>
      <c r="AF15" s="170" t="str">
        <f t="shared" si="4"/>
        <v/>
      </c>
      <c r="AG15" s="171"/>
      <c r="AH15" s="172"/>
      <c r="AI15" s="172"/>
      <c r="AJ15" s="172"/>
      <c r="AK15" s="172"/>
      <c r="AL15" s="172"/>
      <c r="AM15" s="165"/>
      <c r="AN15" s="173"/>
      <c r="AO15" s="173"/>
      <c r="AP15" s="172"/>
      <c r="AQ15" s="165"/>
      <c r="AR15" s="6"/>
      <c r="AS15" s="6" t="s">
        <v>347</v>
      </c>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row>
    <row r="16" spans="1:75" ht="35.1" customHeight="1" x14ac:dyDescent="0.3">
      <c r="A16" s="312">
        <v>2</v>
      </c>
      <c r="B16" s="311" t="s">
        <v>127</v>
      </c>
      <c r="C16" s="311" t="s">
        <v>238</v>
      </c>
      <c r="D16" s="311" t="s">
        <v>248</v>
      </c>
      <c r="E16" s="311" t="s">
        <v>277</v>
      </c>
      <c r="F16" s="185" t="s">
        <v>310</v>
      </c>
      <c r="G16" s="281" t="s">
        <v>309</v>
      </c>
      <c r="H16" s="187" t="s">
        <v>312</v>
      </c>
      <c r="I16" s="311" t="s">
        <v>120</v>
      </c>
      <c r="J16" s="308">
        <v>2</v>
      </c>
      <c r="K16" s="287" t="str">
        <f>IF(J16&lt;=0,"",IF(J16&lt;=2,"Muy Baja",IF(J16&lt;=24,"Baja",IF(J16&lt;=500,"Media",IF(J16&lt;=5000,"Alta","Muy Alta")))))</f>
        <v>Muy Baja</v>
      </c>
      <c r="L16" s="290">
        <f>IF(K16="","",IF(K16="Muy Baja",0.2,IF(K16="Baja",0.4,IF(K16="Media",0.6,IF(K16="Alta",0.8,IF(K16="Muy Alta",1,))))))</f>
        <v>0.2</v>
      </c>
      <c r="M16" s="305" t="s">
        <v>149</v>
      </c>
      <c r="N16" s="316" t="str">
        <f>IF(NOT(ISERROR(MATCH(M16,'Tabla Impacto'!$B$221:$B$223,0))),'Tabla Impacto'!$F$223&amp;"Por favor no seleccionar los criterios de impacto(Afectación Económica o presupuestal y Pérdida Reputacional)",M16)</f>
        <v xml:space="preserve">     El riesgo afecta la imagen de de la entidad con efecto publicitario sostenido a nivel de sector administrativo, nivel departamental o municipal</v>
      </c>
      <c r="O16" s="287" t="str">
        <f>IF(OR(N16='Tabla Impacto'!$C$11,N16='Tabla Impacto'!$D$11),"Leve",IF(OR(N16='Tabla Impacto'!$C$12,N16='Tabla Impacto'!$D$12),"Menor",IF(OR(N16='Tabla Impacto'!$C$13,N16='Tabla Impacto'!$D$13),"Moderado",IF(OR(N16='Tabla Impacto'!$C$14,N16='Tabla Impacto'!$D$14),"Mayor",IF(OR(N16='Tabla Impacto'!$C$15,N16='Tabla Impacto'!$D$15),"Catastrófico","")))))</f>
        <v>Mayor</v>
      </c>
      <c r="P16" s="290">
        <f>IF(O16="","",IF(O16="Leve",0.2,IF(O16="Menor",0.4,IF(O16="Moderado",0.6,IF(O16="Mayor",0.8,IF(O16="Catastrófico",1,))))))</f>
        <v>0.8</v>
      </c>
      <c r="Q16" s="283"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Alto</v>
      </c>
      <c r="R16" s="163">
        <v>1</v>
      </c>
      <c r="S16" s="183" t="s">
        <v>315</v>
      </c>
      <c r="T16" s="188" t="str">
        <f>IF(OR(U16="Preventivo",U16="Detectivo"),"Probabilidad",IF(U16="Correctivo","Impacto",""))</f>
        <v>Probabilidad</v>
      </c>
      <c r="U16" s="189" t="s">
        <v>13</v>
      </c>
      <c r="V16" s="189" t="s">
        <v>8</v>
      </c>
      <c r="W16" s="190" t="str">
        <f>IF(AND(U16="Preventivo",V16="Automático"),"50%",IF(AND(U16="Preventivo",V16="Manual"),"40%",IF(AND(U16="Detectivo",V16="Automático"),"40%",IF(AND(U16="Detectivo",V16="Manual"),"30%",IF(AND(U16="Correctivo",V16="Automático"),"35%",IF(AND(U16="Correctivo",V16="Manual"),"25%",""))))))</f>
        <v>40%</v>
      </c>
      <c r="X16" s="189" t="s">
        <v>18</v>
      </c>
      <c r="Y16" s="189" t="s">
        <v>21</v>
      </c>
      <c r="Z16" s="189" t="s">
        <v>116</v>
      </c>
      <c r="AA16" s="167">
        <f>IFERROR(IF(T16="Probabilidad",(L16-(+L16*W16)),IF(T16="Impacto",L16,"")),"")</f>
        <v>0.12</v>
      </c>
      <c r="AB16" s="191" t="str">
        <f>IFERROR(IF(AA16="","",IF(AA16&lt;=0.2,"Muy Baja",IF(AA16&lt;=0.4,"Baja",IF(AA16&lt;=0.6,"Media",IF(AA16&lt;=0.8,"Alta","Muy Alta"))))),"")</f>
        <v>Muy Baja</v>
      </c>
      <c r="AC16" s="192">
        <f>+AA16</f>
        <v>0.12</v>
      </c>
      <c r="AD16" s="191" t="str">
        <f>IFERROR(IF(AE16="","",IF(AE16&lt;=0.2,"Leve",IF(AE16&lt;=0.4,"Menor",IF(AE16&lt;=0.6,"Moderado",IF(AE16&lt;=0.8,"Mayor","Catastrófico"))))),"")</f>
        <v>Mayor</v>
      </c>
      <c r="AE16" s="192">
        <f>IFERROR(IF(T16="Impacto",(P16-(+P16*W16)),IF(T16="Probabilidad",P16,"")),"")</f>
        <v>0.8</v>
      </c>
      <c r="AF16" s="193" t="str">
        <f>IFERROR(IF(OR(AND(AB16="Muy Baja",AD16="Leve"),AND(AB16="Muy Baja",AD16="Menor"),AND(AB16="Baja",AD16="Leve")),"Bajo",IF(OR(AND(AB16="Muy baja",AD16="Moderado"),AND(AB16="Baja",AD16="Menor"),AND(AB16="Baja",AD16="Moderado"),AND(AB16="Media",AD16="Leve"),AND(AB16="Media",AD16="Menor"),AND(AB16="Media",AD16="Moderado"),AND(AB16="Alta",AD16="Leve"),AND(AB16="Alta",AD16="Menor")),"Moderado",IF(OR(AND(AB16="Muy Baja",AD16="Mayor"),AND(AB16="Baja",AD16="Mayor"),AND(AB16="Media",AD16="Mayor"),AND(AB16="Alta",AD16="Moderado"),AND(AB16="Alta",AD16="Mayor"),AND(AB16="Muy Alta",AD16="Leve"),AND(AB16="Muy Alta",AD16="Menor"),AND(AB16="Muy Alta",AD16="Moderado"),AND(AB16="Muy Alta",AD16="Mayor")),"Alto",IF(OR(AND(AB16="Muy Baja",AD16="Catastrófico"),AND(AB16="Baja",AD16="Catastrófico"),AND(AB16="Media",AD16="Catastrófico"),AND(AB16="Alta",AD16="Catastrófico"),AND(AB16="Muy Alta",AD16="Catastrófico")),"Extremo","")))),"")</f>
        <v>Alto</v>
      </c>
      <c r="AG16" s="171" t="s">
        <v>131</v>
      </c>
      <c r="AH16" s="172" t="s">
        <v>344</v>
      </c>
      <c r="AI16" s="172" t="s">
        <v>306</v>
      </c>
      <c r="AJ16" s="172" t="s">
        <v>307</v>
      </c>
      <c r="AK16" s="162" t="s">
        <v>343</v>
      </c>
      <c r="AL16" s="162" t="s">
        <v>343</v>
      </c>
      <c r="AM16" s="162" t="s">
        <v>343</v>
      </c>
      <c r="AN16" s="162" t="s">
        <v>343</v>
      </c>
      <c r="AO16" s="162" t="s">
        <v>343</v>
      </c>
      <c r="AP16" s="172"/>
      <c r="AQ16" s="165" t="s">
        <v>39</v>
      </c>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row>
    <row r="17" spans="1:75" ht="35.1" customHeight="1" x14ac:dyDescent="0.3">
      <c r="A17" s="313"/>
      <c r="B17" s="293"/>
      <c r="C17" s="293"/>
      <c r="D17" s="293"/>
      <c r="E17" s="293"/>
      <c r="F17" s="186" t="s">
        <v>311</v>
      </c>
      <c r="G17" s="282"/>
      <c r="H17" s="153" t="s">
        <v>313</v>
      </c>
      <c r="I17" s="293"/>
      <c r="J17" s="295"/>
      <c r="K17" s="288"/>
      <c r="L17" s="291"/>
      <c r="M17" s="303"/>
      <c r="N17" s="317">
        <f>IF(NOT(ISERROR(MATCH(M17,_xlfn.ANCHORARRAY(H22),0))),L24&amp;"Por favor no seleccionar los criterios de impacto",M17)</f>
        <v>0</v>
      </c>
      <c r="O17" s="288"/>
      <c r="P17" s="291"/>
      <c r="Q17" s="284"/>
      <c r="R17" s="163">
        <v>2</v>
      </c>
      <c r="S17" s="183" t="s">
        <v>316</v>
      </c>
      <c r="T17" s="188" t="str">
        <f>IF(OR(U17="Preventivo",U17="Detectivo"),"Probabilidad",IF(U17="Correctivo","Impacto",""))</f>
        <v>Probabilidad</v>
      </c>
      <c r="U17" s="189" t="s">
        <v>14</v>
      </c>
      <c r="V17" s="189" t="s">
        <v>8</v>
      </c>
      <c r="W17" s="190" t="str">
        <f t="shared" ref="W17:W21" si="6">IF(AND(U17="Preventivo",V17="Automático"),"50%",IF(AND(U17="Preventivo",V17="Manual"),"40%",IF(AND(U17="Detectivo",V17="Automático"),"40%",IF(AND(U17="Detectivo",V17="Manual"),"30%",IF(AND(U17="Correctivo",V17="Automático"),"35%",IF(AND(U17="Correctivo",V17="Manual"),"25%",""))))))</f>
        <v>30%</v>
      </c>
      <c r="X17" s="189" t="s">
        <v>18</v>
      </c>
      <c r="Y17" s="189" t="s">
        <v>21</v>
      </c>
      <c r="Z17" s="189" t="s">
        <v>116</v>
      </c>
      <c r="AA17" s="167">
        <f>IFERROR(IF(AND(T16="Probabilidad",T17="Probabilidad"),(AC16-(+AC16*W17)),IF(T17="Probabilidad",(L16-(+L16*W17)),IF(T17="Impacto",AC16,""))),"")</f>
        <v>8.3999999999999991E-2</v>
      </c>
      <c r="AB17" s="191" t="str">
        <f t="shared" si="1"/>
        <v>Muy Baja</v>
      </c>
      <c r="AC17" s="192">
        <f t="shared" ref="AC17:AC21" si="7">+AA17</f>
        <v>8.3999999999999991E-2</v>
      </c>
      <c r="AD17" s="191" t="str">
        <f t="shared" si="3"/>
        <v>Mayor</v>
      </c>
      <c r="AE17" s="192">
        <f>IFERROR(IF(AND(T16="Impacto",T17="Impacto"),(AE16-(+AE16*W17)),IF(T17="Impacto",(P16-(+P16*W17)),IF(T17="Probabilidad",AE16,""))),"")</f>
        <v>0.8</v>
      </c>
      <c r="AF17" s="193" t="str">
        <f t="shared" ref="AF17:AF18" si="8">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Alto</v>
      </c>
      <c r="AG17" s="171" t="s">
        <v>131</v>
      </c>
      <c r="AH17" s="172" t="s">
        <v>346</v>
      </c>
      <c r="AI17" s="172" t="s">
        <v>306</v>
      </c>
      <c r="AJ17" s="172" t="s">
        <v>307</v>
      </c>
      <c r="AK17" s="172" t="s">
        <v>343</v>
      </c>
      <c r="AL17" s="172" t="s">
        <v>343</v>
      </c>
      <c r="AM17" s="165" t="s">
        <v>343</v>
      </c>
      <c r="AN17" s="173" t="s">
        <v>343</v>
      </c>
      <c r="AO17" s="173" t="s">
        <v>343</v>
      </c>
      <c r="AP17" s="172"/>
      <c r="AQ17" s="165" t="s">
        <v>39</v>
      </c>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row>
    <row r="18" spans="1:75" ht="35.1" customHeight="1" x14ac:dyDescent="0.3">
      <c r="A18" s="313"/>
      <c r="B18" s="293"/>
      <c r="C18" s="293"/>
      <c r="D18" s="293"/>
      <c r="E18" s="293"/>
      <c r="F18" s="184" t="s">
        <v>314</v>
      </c>
      <c r="G18" s="282"/>
      <c r="H18" s="153"/>
      <c r="I18" s="293"/>
      <c r="J18" s="295"/>
      <c r="K18" s="288"/>
      <c r="L18" s="291"/>
      <c r="M18" s="303"/>
      <c r="N18" s="317">
        <f>IF(NOT(ISERROR(MATCH(M18,_xlfn.ANCHORARRAY(H23),0))),L25&amp;"Por favor no seleccionar los criterios de impacto",M18)</f>
        <v>0</v>
      </c>
      <c r="O18" s="288"/>
      <c r="P18" s="291"/>
      <c r="Q18" s="284"/>
      <c r="R18" s="163">
        <v>3</v>
      </c>
      <c r="S18" s="174"/>
      <c r="T18" s="164" t="str">
        <f>IF(OR(U18="Preventivo",U18="Detectivo"),"Probabilidad",IF(U18="Correctivo","Impacto",""))</f>
        <v/>
      </c>
      <c r="U18" s="165"/>
      <c r="V18" s="165"/>
      <c r="W18" s="166" t="str">
        <f t="shared" si="6"/>
        <v/>
      </c>
      <c r="X18" s="165"/>
      <c r="Y18" s="165"/>
      <c r="Z18" s="165"/>
      <c r="AA18" s="167" t="str">
        <f>IFERROR(IF(AND(T17="Probabilidad",T18="Probabilidad"),(AC17-(+AC17*W18)),IF(AND(T17="Impacto",T18="Probabilidad"),(AC16-(+AC16*W18)),IF(T18="Impacto",AC17,""))),"")</f>
        <v/>
      </c>
      <c r="AB18" s="168" t="str">
        <f t="shared" si="1"/>
        <v/>
      </c>
      <c r="AC18" s="169" t="str">
        <f t="shared" si="7"/>
        <v/>
      </c>
      <c r="AD18" s="168" t="str">
        <f t="shared" si="3"/>
        <v/>
      </c>
      <c r="AE18" s="169" t="str">
        <f>IFERROR(IF(AND(T17="Impacto",T18="Impacto"),(AE17-(+AE17*W18)),IF(AND(T17="Probabilidad",T18="Impacto"),(AE16-(+AE16*W18)),IF(T18="Probabilidad",AE17,""))),"")</f>
        <v/>
      </c>
      <c r="AF18" s="170" t="str">
        <f t="shared" si="8"/>
        <v/>
      </c>
      <c r="AG18" s="171"/>
      <c r="AH18" s="172"/>
      <c r="AI18" s="172"/>
      <c r="AJ18" s="172"/>
      <c r="AK18" s="172"/>
      <c r="AL18" s="172"/>
      <c r="AM18" s="165"/>
      <c r="AN18" s="173"/>
      <c r="AO18" s="173"/>
      <c r="AP18" s="172"/>
      <c r="AQ18" s="165"/>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row>
    <row r="19" spans="1:75" ht="35.1" customHeight="1" x14ac:dyDescent="0.3">
      <c r="A19" s="313"/>
      <c r="B19" s="293"/>
      <c r="C19" s="293"/>
      <c r="D19" s="293"/>
      <c r="E19" s="293"/>
      <c r="F19" s="152"/>
      <c r="G19" s="282"/>
      <c r="H19" s="153"/>
      <c r="I19" s="293"/>
      <c r="J19" s="295"/>
      <c r="K19" s="288"/>
      <c r="L19" s="291"/>
      <c r="M19" s="303"/>
      <c r="N19" s="317">
        <f>IF(NOT(ISERROR(MATCH(M19,_xlfn.ANCHORARRAY(H24),0))),L26&amp;"Por favor no seleccionar los criterios de impacto",M19)</f>
        <v>0</v>
      </c>
      <c r="O19" s="288"/>
      <c r="P19" s="291"/>
      <c r="Q19" s="284"/>
      <c r="R19" s="163">
        <v>4</v>
      </c>
      <c r="S19" s="183"/>
      <c r="T19" s="164" t="str">
        <f t="shared" ref="T19:T21" si="9">IF(OR(U19="Preventivo",U19="Detectivo"),"Probabilidad",IF(U19="Correctivo","Impacto",""))</f>
        <v/>
      </c>
      <c r="U19" s="165"/>
      <c r="V19" s="165"/>
      <c r="W19" s="166" t="str">
        <f t="shared" si="6"/>
        <v/>
      </c>
      <c r="X19" s="165"/>
      <c r="Y19" s="165"/>
      <c r="Z19" s="165"/>
      <c r="AA19" s="167" t="str">
        <f>IFERROR(IF(AND(T18="Probabilidad",T19="Probabilidad"),(AC18-(+AC18*W19)),IF(AND(T18="Impacto",T19="Probabilidad"),(AC17-(+AC17*W19)),IF(T19="Impacto",AC18,""))),"")</f>
        <v/>
      </c>
      <c r="AB19" s="168" t="str">
        <f t="shared" si="1"/>
        <v/>
      </c>
      <c r="AC19" s="169" t="str">
        <f t="shared" si="7"/>
        <v/>
      </c>
      <c r="AD19" s="168" t="str">
        <f t="shared" si="3"/>
        <v/>
      </c>
      <c r="AE19" s="169" t="str">
        <f>IFERROR(IF(AND(T18="Impacto",T19="Impacto"),(AE18-(+AE18*W19)),IF(AND(T18="Probabilidad",T19="Impacto"),(AE17-(+AE17*W19)),IF(T19="Probabilidad",AE18,""))),"")</f>
        <v/>
      </c>
      <c r="AF19" s="170" t="str">
        <f>IFERROR(IF(OR(AND(AB19="Muy Baja",AD19="Leve"),AND(AB19="Muy Baja",AD19="Menor"),AND(AB19="Baja",AD19="Leve")),"Bajo",IF(OR(AND(AB19="Muy baja",AD19="Moderado"),AND(AB19="Baja",AD19="Menor"),AND(AB19="Baja",AD19="Moderado"),AND(AB19="Media",AD19="Leve"),AND(AB19="Media",AD19="Menor"),AND(AB19="Media",AD19="Moderado"),AND(AB19="Alta",AD19="Leve"),AND(AB19="Alta",AD19="Menor")),"Moderado",IF(OR(AND(AB19="Muy Baja",AD19="Mayor"),AND(AB19="Baja",AD19="Mayor"),AND(AB19="Media",AD19="Mayor"),AND(AB19="Alta",AD19="Moderado"),AND(AB19="Alta",AD19="Mayor"),AND(AB19="Muy Alta",AD19="Leve"),AND(AB19="Muy Alta",AD19="Menor"),AND(AB19="Muy Alta",AD19="Moderado"),AND(AB19="Muy Alta",AD19="Mayor")),"Alto",IF(OR(AND(AB19="Muy Baja",AD19="Catastrófico"),AND(AB19="Baja",AD19="Catastrófico"),AND(AB19="Media",AD19="Catastrófico"),AND(AB19="Alta",AD19="Catastrófico"),AND(AB19="Muy Alta",AD19="Catastrófico")),"Extremo","")))),"")</f>
        <v/>
      </c>
      <c r="AG19" s="171"/>
      <c r="AH19" s="172"/>
      <c r="AI19" s="172"/>
      <c r="AJ19" s="172"/>
      <c r="AK19" s="172"/>
      <c r="AL19" s="172"/>
      <c r="AM19" s="165"/>
      <c r="AN19" s="173"/>
      <c r="AO19" s="173"/>
      <c r="AP19" s="172"/>
      <c r="AQ19" s="165"/>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row>
    <row r="20" spans="1:75" ht="35.1" customHeight="1" x14ac:dyDescent="0.3">
      <c r="A20" s="313"/>
      <c r="B20" s="293"/>
      <c r="C20" s="293"/>
      <c r="D20" s="293"/>
      <c r="E20" s="293"/>
      <c r="F20" s="152"/>
      <c r="G20" s="282"/>
      <c r="H20" s="153"/>
      <c r="I20" s="293"/>
      <c r="J20" s="295"/>
      <c r="K20" s="288"/>
      <c r="L20" s="291"/>
      <c r="M20" s="303"/>
      <c r="N20" s="317">
        <f>IF(NOT(ISERROR(MATCH(M20,_xlfn.ANCHORARRAY(H25),0))),L27&amp;"Por favor no seleccionar los criterios de impacto",M20)</f>
        <v>0</v>
      </c>
      <c r="O20" s="288"/>
      <c r="P20" s="291"/>
      <c r="Q20" s="284"/>
      <c r="R20" s="163">
        <v>5</v>
      </c>
      <c r="S20" s="183"/>
      <c r="T20" s="164" t="str">
        <f t="shared" si="9"/>
        <v/>
      </c>
      <c r="U20" s="165"/>
      <c r="V20" s="165"/>
      <c r="W20" s="166" t="str">
        <f t="shared" si="6"/>
        <v/>
      </c>
      <c r="X20" s="165"/>
      <c r="Y20" s="165"/>
      <c r="Z20" s="165"/>
      <c r="AA20" s="167" t="str">
        <f>IFERROR(IF(AND(T19="Probabilidad",T20="Probabilidad"),(AC19-(+AC19*W20)),IF(AND(T19="Impacto",T20="Probabilidad"),(AC18-(+AC18*W20)),IF(T20="Impacto",AC19,""))),"")</f>
        <v/>
      </c>
      <c r="AB20" s="168" t="str">
        <f t="shared" si="1"/>
        <v/>
      </c>
      <c r="AC20" s="169" t="str">
        <f t="shared" si="7"/>
        <v/>
      </c>
      <c r="AD20" s="168" t="str">
        <f t="shared" si="3"/>
        <v/>
      </c>
      <c r="AE20" s="169" t="str">
        <f>IFERROR(IF(AND(T19="Impacto",T20="Impacto"),(AE19-(+AE19*W20)),IF(AND(T19="Probabilidad",T20="Impacto"),(AE18-(+AE18*W20)),IF(T20="Probabilidad",AE19,""))),"")</f>
        <v/>
      </c>
      <c r="AF20" s="170" t="str">
        <f t="shared" ref="AF20:AF21" si="10">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71"/>
      <c r="AH20" s="172"/>
      <c r="AI20" s="172"/>
      <c r="AJ20" s="172"/>
      <c r="AK20" s="172"/>
      <c r="AL20" s="172"/>
      <c r="AM20" s="165"/>
      <c r="AN20" s="173"/>
      <c r="AO20" s="173"/>
      <c r="AP20" s="172"/>
      <c r="AQ20" s="165"/>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row>
    <row r="21" spans="1:75" ht="35.1" customHeight="1" x14ac:dyDescent="0.3">
      <c r="A21" s="314"/>
      <c r="B21" s="294"/>
      <c r="C21" s="294"/>
      <c r="D21" s="294"/>
      <c r="E21" s="294"/>
      <c r="F21" s="162"/>
      <c r="G21" s="298"/>
      <c r="H21" s="175"/>
      <c r="I21" s="294"/>
      <c r="J21" s="296"/>
      <c r="K21" s="289"/>
      <c r="L21" s="292"/>
      <c r="M21" s="304"/>
      <c r="N21" s="318">
        <f>IF(NOT(ISERROR(MATCH(M21,_xlfn.ANCHORARRAY(H26),0))),L28&amp;"Por favor no seleccionar los criterios de impacto",M21)</f>
        <v>0</v>
      </c>
      <c r="O21" s="289"/>
      <c r="P21" s="292"/>
      <c r="Q21" s="285"/>
      <c r="R21" s="163">
        <v>6</v>
      </c>
      <c r="S21" s="183"/>
      <c r="T21" s="164" t="str">
        <f t="shared" si="9"/>
        <v/>
      </c>
      <c r="U21" s="165"/>
      <c r="V21" s="165"/>
      <c r="W21" s="166" t="str">
        <f t="shared" si="6"/>
        <v/>
      </c>
      <c r="X21" s="165"/>
      <c r="Y21" s="165"/>
      <c r="Z21" s="165"/>
      <c r="AA21" s="167" t="str">
        <f>IFERROR(IF(AND(T20="Probabilidad",T21="Probabilidad"),(AC20-(+AC20*W21)),IF(AND(T20="Impacto",T21="Probabilidad"),(AC19-(+AC19*W21)),IF(T21="Impacto",AC20,""))),"")</f>
        <v/>
      </c>
      <c r="AB21" s="168" t="str">
        <f t="shared" si="1"/>
        <v/>
      </c>
      <c r="AC21" s="169" t="str">
        <f t="shared" si="7"/>
        <v/>
      </c>
      <c r="AD21" s="168" t="str">
        <f t="shared" si="3"/>
        <v/>
      </c>
      <c r="AE21" s="169" t="str">
        <f>IFERROR(IF(AND(T20="Impacto",T21="Impacto"),(AE20-(+AE20*W21)),IF(AND(T20="Probabilidad",T21="Impacto"),(AE19-(+AE19*W21)),IF(T21="Probabilidad",AE20,""))),"")</f>
        <v/>
      </c>
      <c r="AF21" s="170" t="str">
        <f t="shared" si="10"/>
        <v/>
      </c>
      <c r="AG21" s="171"/>
      <c r="AH21" s="172"/>
      <c r="AI21" s="172"/>
      <c r="AJ21" s="172"/>
      <c r="AK21" s="172"/>
      <c r="AL21" s="172"/>
      <c r="AM21" s="165"/>
      <c r="AN21" s="173"/>
      <c r="AO21" s="173"/>
      <c r="AP21" s="172"/>
      <c r="AQ21" s="165"/>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row>
    <row r="22" spans="1:75" ht="50.1" customHeight="1" x14ac:dyDescent="0.3">
      <c r="A22" s="312">
        <v>3</v>
      </c>
      <c r="B22" s="311" t="s">
        <v>127</v>
      </c>
      <c r="C22" s="311" t="s">
        <v>246</v>
      </c>
      <c r="D22" s="311" t="s">
        <v>248</v>
      </c>
      <c r="E22" s="311" t="s">
        <v>258</v>
      </c>
      <c r="F22" s="184" t="s">
        <v>317</v>
      </c>
      <c r="G22" s="281" t="s">
        <v>320</v>
      </c>
      <c r="H22" s="196" t="s">
        <v>318</v>
      </c>
      <c r="I22" s="311" t="s">
        <v>120</v>
      </c>
      <c r="J22" s="308">
        <v>50</v>
      </c>
      <c r="K22" s="287" t="str">
        <f>IF(J22&lt;=0,"",IF(J22&lt;=2,"Muy Baja",IF(J22&lt;=24,"Baja",IF(J22&lt;=500,"Media",IF(J22&lt;=5000,"Alta","Muy Alta")))))</f>
        <v>Media</v>
      </c>
      <c r="L22" s="290">
        <f>IF(K22="","",IF(K22="Muy Baja",0.2,IF(K22="Baja",0.4,IF(K22="Media",0.6,IF(K22="Alta",0.8,IF(K22="Muy Alta",1,))))))</f>
        <v>0.6</v>
      </c>
      <c r="M22" s="305" t="s">
        <v>149</v>
      </c>
      <c r="N22" s="316" t="str">
        <f>IF(NOT(ISERROR(MATCH(M22,'Tabla Impacto'!$B$221:$B$223,0))),'Tabla Impacto'!$F$223&amp;"Por favor no seleccionar los criterios de impacto(Afectación Económica o presupuestal y Pérdida Reputacional)",M22)</f>
        <v xml:space="preserve">     El riesgo afecta la imagen de de la entidad con efecto publicitario sostenido a nivel de sector administrativo, nivel departamental o municipal</v>
      </c>
      <c r="O22" s="287" t="str">
        <f>IF(OR(N22='Tabla Impacto'!$C$11,N22='Tabla Impacto'!$D$11),"Leve",IF(OR(N22='Tabla Impacto'!$C$12,N22='Tabla Impacto'!$D$12),"Menor",IF(OR(N22='Tabla Impacto'!$C$13,N22='Tabla Impacto'!$D$13),"Moderado",IF(OR(N22='Tabla Impacto'!$C$14,N22='Tabla Impacto'!$D$14),"Mayor",IF(OR(N22='Tabla Impacto'!$C$15,N22='Tabla Impacto'!$D$15),"Catastrófico","")))))</f>
        <v>Mayor</v>
      </c>
      <c r="P22" s="290">
        <f>IF(O22="","",IF(O22="Leve",0.2,IF(O22="Menor",0.4,IF(O22="Moderado",0.6,IF(O22="Mayor",0.8,IF(O22="Catastrófico",1,))))))</f>
        <v>0.8</v>
      </c>
      <c r="Q22" s="283" t="str">
        <f>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Alto</v>
      </c>
      <c r="R22" s="163">
        <v>1</v>
      </c>
      <c r="S22" s="197" t="s">
        <v>321</v>
      </c>
      <c r="T22" s="164" t="str">
        <f>IF(OR(U22="Preventivo",U22="Detectivo"),"Probabilidad",IF(U22="Correctivo","Impacto",""))</f>
        <v>Probabilidad</v>
      </c>
      <c r="U22" s="165" t="s">
        <v>14</v>
      </c>
      <c r="V22" s="165" t="s">
        <v>8</v>
      </c>
      <c r="W22" s="166" t="str">
        <f>IF(AND(U22="Preventivo",V22="Automático"),"50%",IF(AND(U22="Preventivo",V22="Manual"),"40%",IF(AND(U22="Detectivo",V22="Automático"),"40%",IF(AND(U22="Detectivo",V22="Manual"),"30%",IF(AND(U22="Correctivo",V22="Automático"),"35%",IF(AND(U22="Correctivo",V22="Manual"),"25%",""))))))</f>
        <v>30%</v>
      </c>
      <c r="X22" s="165" t="s">
        <v>18</v>
      </c>
      <c r="Y22" s="165" t="s">
        <v>21</v>
      </c>
      <c r="Z22" s="165" t="s">
        <v>116</v>
      </c>
      <c r="AA22" s="167">
        <f>IFERROR(IF(T22="Probabilidad",(L22-(+L22*W22)),IF(T22="Impacto",L22,"")),"")</f>
        <v>0.42</v>
      </c>
      <c r="AB22" s="168" t="str">
        <f>IFERROR(IF(AA22="","",IF(AA22&lt;=0.2,"Muy Baja",IF(AA22&lt;=0.4,"Baja",IF(AA22&lt;=0.6,"Media",IF(AA22&lt;=0.8,"Alta","Muy Alta"))))),"")</f>
        <v>Media</v>
      </c>
      <c r="AC22" s="169">
        <f>+AA22</f>
        <v>0.42</v>
      </c>
      <c r="AD22" s="168" t="str">
        <f>IFERROR(IF(AE22="","",IF(AE22&lt;=0.2,"Leve",IF(AE22&lt;=0.4,"Menor",IF(AE22&lt;=0.6,"Moderado",IF(AE22&lt;=0.8,"Mayor","Catastrófico"))))),"")</f>
        <v>Mayor</v>
      </c>
      <c r="AE22" s="169">
        <f>IFERROR(IF(T22="Impacto",(P22-(+P22*W22)),IF(T22="Probabilidad",P22,"")),"")</f>
        <v>0.8</v>
      </c>
      <c r="AF22" s="170" t="str">
        <f>IFERROR(IF(OR(AND(AB22="Muy Baja",AD22="Leve"),AND(AB22="Muy Baja",AD22="Menor"),AND(AB22="Baja",AD22="Leve")),"Bajo",IF(OR(AND(AB22="Muy baja",AD22="Moderado"),AND(AB22="Baja",AD22="Menor"),AND(AB22="Baja",AD22="Moderado"),AND(AB22="Media",AD22="Leve"),AND(AB22="Media",AD22="Menor"),AND(AB22="Media",AD22="Moderado"),AND(AB22="Alta",AD22="Leve"),AND(AB22="Alta",AD22="Menor")),"Moderado",IF(OR(AND(AB22="Muy Baja",AD22="Mayor"),AND(AB22="Baja",AD22="Mayor"),AND(AB22="Media",AD22="Mayor"),AND(AB22="Alta",AD22="Moderado"),AND(AB22="Alta",AD22="Mayor"),AND(AB22="Muy Alta",AD22="Leve"),AND(AB22="Muy Alta",AD22="Menor"),AND(AB22="Muy Alta",AD22="Moderado"),AND(AB22="Muy Alta",AD22="Mayor")),"Alto",IF(OR(AND(AB22="Muy Baja",AD22="Catastrófico"),AND(AB22="Baja",AD22="Catastrófico"),AND(AB22="Media",AD22="Catastrófico"),AND(AB22="Alta",AD22="Catastrófico"),AND(AB22="Muy Alta",AD22="Catastrófico")),"Extremo","")))),"")</f>
        <v>Alto</v>
      </c>
      <c r="AG22" s="279" t="s">
        <v>131</v>
      </c>
      <c r="AH22" s="172" t="s">
        <v>348</v>
      </c>
      <c r="AI22" s="172" t="s">
        <v>306</v>
      </c>
      <c r="AJ22" s="172" t="s">
        <v>307</v>
      </c>
      <c r="AK22" s="162" t="s">
        <v>343</v>
      </c>
      <c r="AL22" s="162" t="s">
        <v>343</v>
      </c>
      <c r="AM22" s="162" t="s">
        <v>343</v>
      </c>
      <c r="AN22" s="162" t="s">
        <v>343</v>
      </c>
      <c r="AO22" s="162" t="s">
        <v>343</v>
      </c>
      <c r="AP22" s="162" t="s">
        <v>343</v>
      </c>
      <c r="AQ22" s="165" t="s">
        <v>39</v>
      </c>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row>
    <row r="23" spans="1:75" ht="47.1" customHeight="1" x14ac:dyDescent="0.3">
      <c r="A23" s="313"/>
      <c r="B23" s="293"/>
      <c r="C23" s="293"/>
      <c r="D23" s="293"/>
      <c r="E23" s="293"/>
      <c r="F23" s="152"/>
      <c r="G23" s="282"/>
      <c r="H23" s="196" t="s">
        <v>319</v>
      </c>
      <c r="I23" s="293"/>
      <c r="J23" s="295"/>
      <c r="K23" s="288"/>
      <c r="L23" s="291"/>
      <c r="M23" s="303"/>
      <c r="N23" s="317">
        <f t="shared" ref="N23:N27" si="11">IF(NOT(ISERROR(MATCH(M23,_xlfn.ANCHORARRAY(H34),0))),L36&amp;"Por favor no seleccionar los criterios de impacto",M23)</f>
        <v>0</v>
      </c>
      <c r="O23" s="288"/>
      <c r="P23" s="291"/>
      <c r="Q23" s="284"/>
      <c r="R23" s="163">
        <v>2</v>
      </c>
      <c r="S23" s="197" t="s">
        <v>322</v>
      </c>
      <c r="T23" s="164" t="str">
        <f>IF(OR(U23="Preventivo",U23="Detectivo"),"Probabilidad",IF(U23="Correctivo","Impacto",""))</f>
        <v>Probabilidad</v>
      </c>
      <c r="U23" s="165" t="s">
        <v>14</v>
      </c>
      <c r="V23" s="165" t="s">
        <v>8</v>
      </c>
      <c r="W23" s="166" t="str">
        <f t="shared" ref="W23:W27" si="12">IF(AND(U23="Preventivo",V23="Automático"),"50%",IF(AND(U23="Preventivo",V23="Manual"),"40%",IF(AND(U23="Detectivo",V23="Automático"),"40%",IF(AND(U23="Detectivo",V23="Manual"),"30%",IF(AND(U23="Correctivo",V23="Automático"),"35%",IF(AND(U23="Correctivo",V23="Manual"),"25%",""))))))</f>
        <v>30%</v>
      </c>
      <c r="X23" s="165" t="s">
        <v>18</v>
      </c>
      <c r="Y23" s="165" t="s">
        <v>22</v>
      </c>
      <c r="Z23" s="165" t="s">
        <v>116</v>
      </c>
      <c r="AA23" s="167">
        <f>IFERROR(IF(AND(T22="Probabilidad",T23="Probabilidad"),(AC22-(+AC22*W23)),IF(T23="Probabilidad",(L22-(+L22*W23)),IF(T23="Impacto",AC22,""))),"")</f>
        <v>0.29399999999999998</v>
      </c>
      <c r="AB23" s="168" t="str">
        <f t="shared" si="1"/>
        <v>Baja</v>
      </c>
      <c r="AC23" s="169">
        <f t="shared" ref="AC23:AC27" si="13">+AA23</f>
        <v>0.29399999999999998</v>
      </c>
      <c r="AD23" s="168" t="str">
        <f t="shared" si="3"/>
        <v>Mayor</v>
      </c>
      <c r="AE23" s="169">
        <f>IFERROR(IF(AND(T22="Impacto",T23="Impacto"),(AE22-(+AE22*W23)),IF(T23="Impacto",(P22-(+P22*W23)),IF(T23="Probabilidad",AE22,""))),"")</f>
        <v>0.8</v>
      </c>
      <c r="AF23" s="170" t="str">
        <f t="shared" ref="AF23:AF24" si="14">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Alto</v>
      </c>
      <c r="AG23" s="280"/>
      <c r="AH23" s="172" t="s">
        <v>349</v>
      </c>
      <c r="AI23" s="172" t="s">
        <v>306</v>
      </c>
      <c r="AJ23" s="172" t="s">
        <v>307</v>
      </c>
      <c r="AK23" s="162" t="s">
        <v>343</v>
      </c>
      <c r="AL23" s="162" t="s">
        <v>343</v>
      </c>
      <c r="AM23" s="162" t="s">
        <v>343</v>
      </c>
      <c r="AN23" s="162" t="s">
        <v>343</v>
      </c>
      <c r="AO23" s="162" t="s">
        <v>343</v>
      </c>
      <c r="AP23" s="162" t="s">
        <v>343</v>
      </c>
      <c r="AQ23" s="165" t="s">
        <v>39</v>
      </c>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row>
    <row r="24" spans="1:75" ht="35.1" customHeight="1" x14ac:dyDescent="0.3">
      <c r="A24" s="313"/>
      <c r="B24" s="293"/>
      <c r="C24" s="293"/>
      <c r="D24" s="293"/>
      <c r="E24" s="293"/>
      <c r="F24" s="152"/>
      <c r="G24" s="282"/>
      <c r="H24" s="153"/>
      <c r="I24" s="293"/>
      <c r="J24" s="295"/>
      <c r="K24" s="288"/>
      <c r="L24" s="291"/>
      <c r="M24" s="303"/>
      <c r="N24" s="317">
        <f t="shared" si="11"/>
        <v>0</v>
      </c>
      <c r="O24" s="288"/>
      <c r="P24" s="291"/>
      <c r="Q24" s="284"/>
      <c r="R24" s="163">
        <v>3</v>
      </c>
      <c r="S24" s="174"/>
      <c r="T24" s="164" t="str">
        <f>IF(OR(U24="Preventivo",U24="Detectivo"),"Probabilidad",IF(U24="Correctivo","Impacto",""))</f>
        <v/>
      </c>
      <c r="U24" s="165"/>
      <c r="V24" s="165"/>
      <c r="W24" s="166" t="str">
        <f t="shared" si="12"/>
        <v/>
      </c>
      <c r="X24" s="165"/>
      <c r="Y24" s="165"/>
      <c r="Z24" s="165"/>
      <c r="AA24" s="167" t="str">
        <f>IFERROR(IF(AND(T23="Probabilidad",T24="Probabilidad"),(AC23-(+AC23*W24)),IF(AND(T23="Impacto",T24="Probabilidad"),(AC22-(+AC22*W24)),IF(T24="Impacto",AC23,""))),"")</f>
        <v/>
      </c>
      <c r="AB24" s="168" t="str">
        <f t="shared" si="1"/>
        <v/>
      </c>
      <c r="AC24" s="169" t="str">
        <f t="shared" si="13"/>
        <v/>
      </c>
      <c r="AD24" s="168" t="str">
        <f t="shared" si="3"/>
        <v/>
      </c>
      <c r="AE24" s="169" t="str">
        <f>IFERROR(IF(AND(T23="Impacto",T24="Impacto"),(AE23-(+AE23*W24)),IF(AND(T23="Probabilidad",T24="Impacto"),(AE22-(+AE22*W24)),IF(T24="Probabilidad",AE23,""))),"")</f>
        <v/>
      </c>
      <c r="AF24" s="170" t="str">
        <f t="shared" si="14"/>
        <v/>
      </c>
      <c r="AG24" s="171"/>
      <c r="AH24" s="172"/>
      <c r="AI24" s="172"/>
      <c r="AJ24" s="172"/>
      <c r="AK24" s="162"/>
      <c r="AL24" s="162"/>
      <c r="AM24" s="162"/>
      <c r="AN24" s="162"/>
      <c r="AO24" s="162"/>
      <c r="AP24" s="162"/>
      <c r="AQ24" s="165"/>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row>
    <row r="25" spans="1:75" ht="35.1" customHeight="1" x14ac:dyDescent="0.3">
      <c r="A25" s="313"/>
      <c r="B25" s="293"/>
      <c r="C25" s="293"/>
      <c r="D25" s="293"/>
      <c r="E25" s="293"/>
      <c r="F25" s="152"/>
      <c r="G25" s="282"/>
      <c r="H25" s="153"/>
      <c r="I25" s="293"/>
      <c r="J25" s="295"/>
      <c r="K25" s="288"/>
      <c r="L25" s="291"/>
      <c r="M25" s="303"/>
      <c r="N25" s="317">
        <f t="shared" si="11"/>
        <v>0</v>
      </c>
      <c r="O25" s="288"/>
      <c r="P25" s="291"/>
      <c r="Q25" s="284"/>
      <c r="R25" s="163">
        <v>4</v>
      </c>
      <c r="S25" s="183"/>
      <c r="T25" s="164" t="str">
        <f t="shared" ref="T25:T27" si="15">IF(OR(U25="Preventivo",U25="Detectivo"),"Probabilidad",IF(U25="Correctivo","Impacto",""))</f>
        <v/>
      </c>
      <c r="U25" s="165"/>
      <c r="V25" s="165"/>
      <c r="W25" s="166" t="str">
        <f t="shared" si="12"/>
        <v/>
      </c>
      <c r="X25" s="165"/>
      <c r="Y25" s="165"/>
      <c r="Z25" s="165"/>
      <c r="AA25" s="167" t="str">
        <f>IFERROR(IF(AND(T24="Probabilidad",T25="Probabilidad"),(AC24-(+AC24*W25)),IF(AND(T24="Impacto",T25="Probabilidad"),(AC23-(+AC23*W25)),IF(T25="Impacto",AC24,""))),"")</f>
        <v/>
      </c>
      <c r="AB25" s="168" t="str">
        <f t="shared" si="1"/>
        <v/>
      </c>
      <c r="AC25" s="169" t="str">
        <f t="shared" si="13"/>
        <v/>
      </c>
      <c r="AD25" s="168" t="str">
        <f t="shared" si="3"/>
        <v/>
      </c>
      <c r="AE25" s="169" t="str">
        <f>IFERROR(IF(AND(T24="Impacto",T25="Impacto"),(AE24-(+AE24*W25)),IF(AND(T24="Probabilidad",T25="Impacto"),(AE23-(+AE23*W25)),IF(T25="Probabilidad",AE24,""))),"")</f>
        <v/>
      </c>
      <c r="AF25" s="170" t="str">
        <f>IFERROR(IF(OR(AND(AB25="Muy Baja",AD25="Leve"),AND(AB25="Muy Baja",AD25="Menor"),AND(AB25="Baja",AD25="Leve")),"Bajo",IF(OR(AND(AB25="Muy baja",AD25="Moderado"),AND(AB25="Baja",AD25="Menor"),AND(AB25="Baja",AD25="Moderado"),AND(AB25="Media",AD25="Leve"),AND(AB25="Media",AD25="Menor"),AND(AB25="Media",AD25="Moderado"),AND(AB25="Alta",AD25="Leve"),AND(AB25="Alta",AD25="Menor")),"Moderado",IF(OR(AND(AB25="Muy Baja",AD25="Mayor"),AND(AB25="Baja",AD25="Mayor"),AND(AB25="Media",AD25="Mayor"),AND(AB25="Alta",AD25="Moderado"),AND(AB25="Alta",AD25="Mayor"),AND(AB25="Muy Alta",AD25="Leve"),AND(AB25="Muy Alta",AD25="Menor"),AND(AB25="Muy Alta",AD25="Moderado"),AND(AB25="Muy Alta",AD25="Mayor")),"Alto",IF(OR(AND(AB25="Muy Baja",AD25="Catastrófico"),AND(AB25="Baja",AD25="Catastrófico"),AND(AB25="Media",AD25="Catastrófico"),AND(AB25="Alta",AD25="Catastrófico"),AND(AB25="Muy Alta",AD25="Catastrófico")),"Extremo","")))),"")</f>
        <v/>
      </c>
      <c r="AG25" s="171"/>
      <c r="AH25" s="172"/>
      <c r="AI25" s="172"/>
      <c r="AJ25" s="172"/>
      <c r="AK25" s="172"/>
      <c r="AL25" s="172"/>
      <c r="AM25" s="165"/>
      <c r="AN25" s="173"/>
      <c r="AO25" s="173"/>
      <c r="AP25" s="172"/>
      <c r="AQ25" s="165"/>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row>
    <row r="26" spans="1:75" ht="35.1" customHeight="1" x14ac:dyDescent="0.3">
      <c r="A26" s="313"/>
      <c r="B26" s="293"/>
      <c r="C26" s="293"/>
      <c r="D26" s="293"/>
      <c r="E26" s="293"/>
      <c r="F26" s="152"/>
      <c r="G26" s="282"/>
      <c r="H26" s="153"/>
      <c r="I26" s="293"/>
      <c r="J26" s="295"/>
      <c r="K26" s="288"/>
      <c r="L26" s="291"/>
      <c r="M26" s="303"/>
      <c r="N26" s="317">
        <f t="shared" si="11"/>
        <v>0</v>
      </c>
      <c r="O26" s="288"/>
      <c r="P26" s="291"/>
      <c r="Q26" s="284"/>
      <c r="R26" s="163">
        <v>5</v>
      </c>
      <c r="S26" s="183"/>
      <c r="T26" s="164" t="str">
        <f t="shared" si="15"/>
        <v/>
      </c>
      <c r="U26" s="165"/>
      <c r="V26" s="165"/>
      <c r="W26" s="166" t="str">
        <f t="shared" si="12"/>
        <v/>
      </c>
      <c r="X26" s="165"/>
      <c r="Y26" s="165"/>
      <c r="Z26" s="165"/>
      <c r="AA26" s="194" t="str">
        <f>IFERROR(IF(AND(T25="Probabilidad",T26="Probabilidad"),(AC25-(+AC25*W26)),IF(AND(T25="Impacto",T26="Probabilidad"),(AC24-(+AC24*W26)),IF(T26="Impacto",AC25,""))),"")</f>
        <v/>
      </c>
      <c r="AB26" s="168" t="str">
        <f>IFERROR(IF(AA26="","",IF(AA26&lt;=0.2,"Muy Baja",IF(AA26&lt;=0.4,"Baja",IF(AA26&lt;=0.6,"Media",IF(AA26&lt;=0.8,"Alta","Muy Alta"))))),"")</f>
        <v/>
      </c>
      <c r="AC26" s="169" t="str">
        <f t="shared" si="13"/>
        <v/>
      </c>
      <c r="AD26" s="168" t="str">
        <f t="shared" si="3"/>
        <v/>
      </c>
      <c r="AE26" s="169" t="str">
        <f>IFERROR(IF(AND(T25="Impacto",T26="Impacto"),(AE25-(+AE25*W26)),IF(AND(T25="Probabilidad",T26="Impacto"),(AE24-(+AE24*W26)),IF(T26="Probabilidad",AE25,""))),"")</f>
        <v/>
      </c>
      <c r="AF26" s="170" t="str">
        <f t="shared" ref="AF26:AF27" si="16">IFERROR(IF(OR(AND(AB26="Muy Baja",AD26="Leve"),AND(AB26="Muy Baja",AD26="Menor"),AND(AB26="Baja",AD26="Leve")),"Bajo",IF(OR(AND(AB26="Muy baja",AD26="Moderado"),AND(AB26="Baja",AD26="Menor"),AND(AB26="Baja",AD26="Moderado"),AND(AB26="Media",AD26="Leve"),AND(AB26="Media",AD26="Menor"),AND(AB26="Media",AD26="Moderado"),AND(AB26="Alta",AD26="Leve"),AND(AB26="Alta",AD26="Menor")),"Moderado",IF(OR(AND(AB26="Muy Baja",AD26="Mayor"),AND(AB26="Baja",AD26="Mayor"),AND(AB26="Media",AD26="Mayor"),AND(AB26="Alta",AD26="Moderado"),AND(AB26="Alta",AD26="Mayor"),AND(AB26="Muy Alta",AD26="Leve"),AND(AB26="Muy Alta",AD26="Menor"),AND(AB26="Muy Alta",AD26="Moderado"),AND(AB26="Muy Alta",AD26="Mayor")),"Alto",IF(OR(AND(AB26="Muy Baja",AD26="Catastrófico"),AND(AB26="Baja",AD26="Catastrófico"),AND(AB26="Media",AD26="Catastrófico"),AND(AB26="Alta",AD26="Catastrófico"),AND(AB26="Muy Alta",AD26="Catastrófico")),"Extremo","")))),"")</f>
        <v/>
      </c>
      <c r="AG26" s="171"/>
      <c r="AH26" s="172"/>
      <c r="AI26" s="172"/>
      <c r="AJ26" s="172"/>
      <c r="AK26" s="172"/>
      <c r="AL26" s="172"/>
      <c r="AM26" s="165"/>
      <c r="AN26" s="173"/>
      <c r="AO26" s="173"/>
      <c r="AP26" s="172"/>
      <c r="AQ26" s="165"/>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row>
    <row r="27" spans="1:75" ht="35.1" customHeight="1" x14ac:dyDescent="0.3">
      <c r="A27" s="314"/>
      <c r="B27" s="294"/>
      <c r="C27" s="293"/>
      <c r="D27" s="293"/>
      <c r="E27" s="293"/>
      <c r="F27" s="152"/>
      <c r="G27" s="282"/>
      <c r="H27" s="153"/>
      <c r="I27" s="294"/>
      <c r="J27" s="296"/>
      <c r="K27" s="289"/>
      <c r="L27" s="292"/>
      <c r="M27" s="304"/>
      <c r="N27" s="318">
        <f t="shared" si="11"/>
        <v>0</v>
      </c>
      <c r="O27" s="289"/>
      <c r="P27" s="292"/>
      <c r="Q27" s="285"/>
      <c r="R27" s="163">
        <v>6</v>
      </c>
      <c r="S27" s="183"/>
      <c r="T27" s="164" t="str">
        <f t="shared" si="15"/>
        <v/>
      </c>
      <c r="U27" s="165"/>
      <c r="V27" s="165"/>
      <c r="W27" s="166" t="str">
        <f t="shared" si="12"/>
        <v/>
      </c>
      <c r="X27" s="165"/>
      <c r="Y27" s="165"/>
      <c r="Z27" s="165"/>
      <c r="AA27" s="167" t="str">
        <f>IFERROR(IF(AND(T26="Probabilidad",T27="Probabilidad"),(AC26-(+AC26*W27)),IF(AND(T26="Impacto",T27="Probabilidad"),(AC25-(+AC25*W27)),IF(T27="Impacto",AC26,""))),"")</f>
        <v/>
      </c>
      <c r="AB27" s="168" t="str">
        <f t="shared" si="1"/>
        <v/>
      </c>
      <c r="AC27" s="169" t="str">
        <f t="shared" si="13"/>
        <v/>
      </c>
      <c r="AD27" s="168" t="str">
        <f t="shared" si="3"/>
        <v/>
      </c>
      <c r="AE27" s="169" t="str">
        <f>IFERROR(IF(AND(T26="Impacto",T27="Impacto"),(AE26-(+AE26*W27)),IF(AND(T26="Probabilidad",T27="Impacto"),(AE25-(+AE25*W27)),IF(T27="Probabilidad",AE26,""))),"")</f>
        <v/>
      </c>
      <c r="AF27" s="170" t="str">
        <f t="shared" si="16"/>
        <v/>
      </c>
      <c r="AG27" s="171"/>
      <c r="AH27" s="172"/>
      <c r="AI27" s="172"/>
      <c r="AJ27" s="172"/>
      <c r="AK27" s="172"/>
      <c r="AL27" s="172"/>
      <c r="AM27" s="165"/>
      <c r="AN27" s="173"/>
      <c r="AO27" s="173"/>
      <c r="AP27" s="172"/>
      <c r="AQ27" s="165"/>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row>
    <row r="28" spans="1:75" ht="35.1" customHeight="1" x14ac:dyDescent="0.3">
      <c r="A28" s="312">
        <v>4</v>
      </c>
      <c r="B28" s="311" t="s">
        <v>127</v>
      </c>
      <c r="C28" s="311" t="s">
        <v>246</v>
      </c>
      <c r="D28" s="311" t="s">
        <v>248</v>
      </c>
      <c r="E28" s="311" t="s">
        <v>281</v>
      </c>
      <c r="F28" s="184" t="s">
        <v>324</v>
      </c>
      <c r="G28" s="282" t="s">
        <v>323</v>
      </c>
      <c r="H28" s="196" t="s">
        <v>325</v>
      </c>
      <c r="I28" s="311" t="s">
        <v>123</v>
      </c>
      <c r="J28" s="308">
        <v>365</v>
      </c>
      <c r="K28" s="287" t="str">
        <f>IF(J28&lt;=0,"",IF(J28&lt;=2,"Muy Baja",IF(J28&lt;=24,"Baja",IF(J28&lt;=500,"Media",IF(J28&lt;=5000,"Alta","Muy Alta")))))</f>
        <v>Media</v>
      </c>
      <c r="L28" s="290">
        <f>IF(K28="","",IF(K28="Muy Baja",0.2,IF(K28="Baja",0.4,IF(K28="Media",0.6,IF(K28="Alta",0.8,IF(K28="Muy Alta",1,))))))</f>
        <v>0.6</v>
      </c>
      <c r="M28" s="305" t="s">
        <v>149</v>
      </c>
      <c r="N28" s="316" t="str">
        <f>IF(NOT(ISERROR(MATCH(M28,'Tabla Impacto'!$B$221:$B$223,0))),'Tabla Impacto'!$F$223&amp;"Por favor no seleccionar los criterios de impacto(Afectación Económica o presupuestal y Pérdida Reputacional)",M28)</f>
        <v xml:space="preserve">     El riesgo afecta la imagen de de la entidad con efecto publicitario sostenido a nivel de sector administrativo, nivel departamental o municipal</v>
      </c>
      <c r="O28" s="287" t="str">
        <f>IF(OR(N28='Tabla Impacto'!$C$11,N28='Tabla Impacto'!$D$11),"Leve",IF(OR(N28='Tabla Impacto'!$C$12,N28='Tabla Impacto'!$D$12),"Menor",IF(OR(N28='Tabla Impacto'!$C$13,N28='Tabla Impacto'!$D$13),"Moderado",IF(OR(N28='Tabla Impacto'!$C$14,N28='Tabla Impacto'!$D$14),"Mayor",IF(OR(N28='Tabla Impacto'!$C$15,N28='Tabla Impacto'!$D$15),"Catastrófico","")))))</f>
        <v>Mayor</v>
      </c>
      <c r="P28" s="290">
        <f>IF(O28="","",IF(O28="Leve",0.2,IF(O28="Menor",0.4,IF(O28="Moderado",0.6,IF(O28="Mayor",0.8,IF(O28="Catastrófico",1,))))))</f>
        <v>0.8</v>
      </c>
      <c r="Q28" s="283"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63">
        <v>1</v>
      </c>
      <c r="S28" s="197" t="s">
        <v>326</v>
      </c>
      <c r="T28" s="164" t="str">
        <f>IF(OR(U28="Preventivo",U28="Detectivo"),"Probabilidad",IF(U28="Correctivo","Impacto",""))</f>
        <v>Probabilidad</v>
      </c>
      <c r="U28" s="165" t="s">
        <v>13</v>
      </c>
      <c r="V28" s="165" t="s">
        <v>8</v>
      </c>
      <c r="W28" s="166" t="str">
        <f>IF(AND(U28="Preventivo",V28="Automático"),"50%",IF(AND(U28="Preventivo",V28="Manual"),"40%",IF(AND(U28="Detectivo",V28="Automático"),"40%",IF(AND(U28="Detectivo",V28="Manual"),"30%",IF(AND(U28="Correctivo",V28="Automático"),"35%",IF(AND(U28="Correctivo",V28="Manual"),"25%",""))))))</f>
        <v>40%</v>
      </c>
      <c r="X28" s="165" t="s">
        <v>18</v>
      </c>
      <c r="Y28" s="165" t="s">
        <v>21</v>
      </c>
      <c r="Z28" s="165" t="s">
        <v>116</v>
      </c>
      <c r="AA28" s="167">
        <f>IFERROR(IF(T28="Probabilidad",(L28-(+L28*W28)),IF(T28="Impacto",L28,"")),"")</f>
        <v>0.36</v>
      </c>
      <c r="AB28" s="168" t="str">
        <f>IFERROR(IF(AA28="","",IF(AA28&lt;=0.2,"Muy Baja",IF(AA28&lt;=0.4,"Baja",IF(AA28&lt;=0.6,"Media",IF(AA28&lt;=0.8,"Alta","Muy Alta"))))),"")</f>
        <v>Baja</v>
      </c>
      <c r="AC28" s="169">
        <f>+AA28</f>
        <v>0.36</v>
      </c>
      <c r="AD28" s="168" t="str">
        <f>IFERROR(IF(AE28="","",IF(AE28&lt;=0.2,"Leve",IF(AE28&lt;=0.4,"Menor",IF(AE28&lt;=0.6,"Moderado",IF(AE28&lt;=0.8,"Mayor","Catastrófico"))))),"")</f>
        <v>Mayor</v>
      </c>
      <c r="AE28" s="169">
        <f>IFERROR(IF(T28="Impacto",(P28-(+P28*W28)),IF(T28="Probabilidad",P28,"")),"")</f>
        <v>0.8</v>
      </c>
      <c r="AF28" s="170" t="str">
        <f>IFERROR(IF(OR(AND(AB28="Muy Baja",AD28="Leve"),AND(AB28="Muy Baja",AD28="Menor"),AND(AB28="Baja",AD28="Leve")),"Bajo",IF(OR(AND(AB28="Muy baja",AD28="Moderado"),AND(AB28="Baja",AD28="Menor"),AND(AB28="Baja",AD28="Moderado"),AND(AB28="Media",AD28="Leve"),AND(AB28="Media",AD28="Menor"),AND(AB28="Media",AD28="Moderado"),AND(AB28="Alta",AD28="Leve"),AND(AB28="Alta",AD28="Menor")),"Moderado",IF(OR(AND(AB28="Muy Baja",AD28="Mayor"),AND(AB28="Baja",AD28="Mayor"),AND(AB28="Media",AD28="Mayor"),AND(AB28="Alta",AD28="Moderado"),AND(AB28="Alta",AD28="Mayor"),AND(AB28="Muy Alta",AD28="Leve"),AND(AB28="Muy Alta",AD28="Menor"),AND(AB28="Muy Alta",AD28="Moderado"),AND(AB28="Muy Alta",AD28="Mayor")),"Alto",IF(OR(AND(AB28="Muy Baja",AD28="Catastrófico"),AND(AB28="Baja",AD28="Catastrófico"),AND(AB28="Media",AD28="Catastrófico"),AND(AB28="Alta",AD28="Catastrófico"),AND(AB28="Muy Alta",AD28="Catastrófico")),"Extremo","")))),"")</f>
        <v>Alto</v>
      </c>
      <c r="AG28" s="171" t="s">
        <v>131</v>
      </c>
      <c r="AH28" s="172" t="s">
        <v>350</v>
      </c>
      <c r="AI28" s="172"/>
      <c r="AJ28" s="172"/>
      <c r="AK28" s="172"/>
      <c r="AL28" s="172"/>
      <c r="AM28" s="165"/>
      <c r="AN28" s="173"/>
      <c r="AO28" s="173"/>
      <c r="AP28" s="172"/>
      <c r="AQ28" s="165"/>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row>
    <row r="29" spans="1:75" ht="35.1" customHeight="1" x14ac:dyDescent="0.3">
      <c r="A29" s="313"/>
      <c r="B29" s="293"/>
      <c r="C29" s="293"/>
      <c r="D29" s="293"/>
      <c r="E29" s="293"/>
      <c r="F29" s="152"/>
      <c r="G29" s="282"/>
      <c r="H29" s="196" t="s">
        <v>327</v>
      </c>
      <c r="I29" s="293"/>
      <c r="J29" s="295"/>
      <c r="K29" s="288"/>
      <c r="L29" s="291"/>
      <c r="M29" s="303"/>
      <c r="N29" s="317">
        <f t="shared" ref="N29:N33" si="17">IF(NOT(ISERROR(MATCH(M29,_xlfn.ANCHORARRAY(H40),0))),L42&amp;"Por favor no seleccionar los criterios de impacto",M29)</f>
        <v>0</v>
      </c>
      <c r="O29" s="288"/>
      <c r="P29" s="291"/>
      <c r="Q29" s="284"/>
      <c r="R29" s="163">
        <v>2</v>
      </c>
      <c r="S29" s="183"/>
      <c r="T29" s="164" t="str">
        <f>IF(OR(U29="Preventivo",U29="Detectivo"),"Probabilidad",IF(U29="Correctivo","Impacto",""))</f>
        <v/>
      </c>
      <c r="U29" s="165"/>
      <c r="V29" s="165"/>
      <c r="W29" s="166" t="str">
        <f t="shared" ref="W29:W33" si="18">IF(AND(U29="Preventivo",V29="Automático"),"50%",IF(AND(U29="Preventivo",V29="Manual"),"40%",IF(AND(U29="Detectivo",V29="Automático"),"40%",IF(AND(U29="Detectivo",V29="Manual"),"30%",IF(AND(U29="Correctivo",V29="Automático"),"35%",IF(AND(U29="Correctivo",V29="Manual"),"25%",""))))))</f>
        <v/>
      </c>
      <c r="X29" s="165"/>
      <c r="Y29" s="165"/>
      <c r="Z29" s="165"/>
      <c r="AA29" s="167" t="str">
        <f>IFERROR(IF(AND(T28="Probabilidad",T29="Probabilidad"),(AC28-(+AC28*W29)),IF(T29="Probabilidad",(L28-(+L28*W29)),IF(T29="Impacto",AC28,""))),"")</f>
        <v/>
      </c>
      <c r="AB29" s="168" t="str">
        <f t="shared" si="1"/>
        <v/>
      </c>
      <c r="AC29" s="169" t="str">
        <f t="shared" ref="AC29:AC33" si="19">+AA29</f>
        <v/>
      </c>
      <c r="AD29" s="168" t="str">
        <f t="shared" si="3"/>
        <v/>
      </c>
      <c r="AE29" s="169" t="str">
        <f>IFERROR(IF(AND(T28="Impacto",T29="Impacto"),(AE28-(+AE28*W29)),IF(T29="Impacto",(P28-(+P28*W29)),IF(T29="Probabilidad",AE28,""))),"")</f>
        <v/>
      </c>
      <c r="AF29" s="170" t="str">
        <f t="shared" ref="AF29:AF30" si="20">IFERROR(IF(OR(AND(AB29="Muy Baja",AD29="Leve"),AND(AB29="Muy Baja",AD29="Menor"),AND(AB29="Baja",AD29="Leve")),"Bajo",IF(OR(AND(AB29="Muy baja",AD29="Moderado"),AND(AB29="Baja",AD29="Menor"),AND(AB29="Baja",AD29="Moderado"),AND(AB29="Media",AD29="Leve"),AND(AB29="Media",AD29="Menor"),AND(AB29="Media",AD29="Moderado"),AND(AB29="Alta",AD29="Leve"),AND(AB29="Alta",AD29="Menor")),"Moderado",IF(OR(AND(AB29="Muy Baja",AD29="Mayor"),AND(AB29="Baja",AD29="Mayor"),AND(AB29="Media",AD29="Mayor"),AND(AB29="Alta",AD29="Moderado"),AND(AB29="Alta",AD29="Mayor"),AND(AB29="Muy Alta",AD29="Leve"),AND(AB29="Muy Alta",AD29="Menor"),AND(AB29="Muy Alta",AD29="Moderado"),AND(AB29="Muy Alta",AD29="Mayor")),"Alto",IF(OR(AND(AB29="Muy Baja",AD29="Catastrófico"),AND(AB29="Baja",AD29="Catastrófico"),AND(AB29="Media",AD29="Catastrófico"),AND(AB29="Alta",AD29="Catastrófico"),AND(AB29="Muy Alta",AD29="Catastrófico")),"Extremo","")))),"")</f>
        <v/>
      </c>
      <c r="AG29" s="171"/>
      <c r="AH29" s="172" t="s">
        <v>351</v>
      </c>
      <c r="AI29" s="172"/>
      <c r="AJ29" s="172"/>
      <c r="AK29" s="172"/>
      <c r="AL29" s="172"/>
      <c r="AM29" s="165"/>
      <c r="AN29" s="173"/>
      <c r="AO29" s="173"/>
      <c r="AP29" s="172"/>
      <c r="AQ29" s="165"/>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row>
    <row r="30" spans="1:75" ht="35.1" customHeight="1" x14ac:dyDescent="0.3">
      <c r="A30" s="313"/>
      <c r="B30" s="293"/>
      <c r="C30" s="293"/>
      <c r="D30" s="293"/>
      <c r="E30" s="293"/>
      <c r="F30" s="152"/>
      <c r="G30" s="282"/>
      <c r="H30" s="153"/>
      <c r="I30" s="293"/>
      <c r="J30" s="295"/>
      <c r="K30" s="288"/>
      <c r="L30" s="291"/>
      <c r="M30" s="303"/>
      <c r="N30" s="317">
        <f t="shared" si="17"/>
        <v>0</v>
      </c>
      <c r="O30" s="288"/>
      <c r="P30" s="291"/>
      <c r="Q30" s="284"/>
      <c r="R30" s="163">
        <v>3</v>
      </c>
      <c r="S30" s="174"/>
      <c r="T30" s="164" t="str">
        <f>IF(OR(U30="Preventivo",U30="Detectivo"),"Probabilidad",IF(U30="Correctivo","Impacto",""))</f>
        <v/>
      </c>
      <c r="U30" s="165"/>
      <c r="V30" s="165"/>
      <c r="W30" s="166" t="str">
        <f t="shared" si="18"/>
        <v/>
      </c>
      <c r="X30" s="165"/>
      <c r="Y30" s="165"/>
      <c r="Z30" s="165"/>
      <c r="AA30" s="167" t="str">
        <f>IFERROR(IF(AND(T29="Probabilidad",T30="Probabilidad"),(AC29-(+AC29*W30)),IF(AND(T29="Impacto",T30="Probabilidad"),(AC28-(+AC28*W30)),IF(T30="Impacto",AC29,""))),"")</f>
        <v/>
      </c>
      <c r="AB30" s="168" t="str">
        <f t="shared" si="1"/>
        <v/>
      </c>
      <c r="AC30" s="169" t="str">
        <f t="shared" si="19"/>
        <v/>
      </c>
      <c r="AD30" s="168" t="str">
        <f t="shared" si="3"/>
        <v/>
      </c>
      <c r="AE30" s="169" t="str">
        <f>IFERROR(IF(AND(T29="Impacto",T30="Impacto"),(AE29-(+AE29*W30)),IF(AND(T29="Probabilidad",T30="Impacto"),(AE28-(+AE28*W30)),IF(T30="Probabilidad",AE29,""))),"")</f>
        <v/>
      </c>
      <c r="AF30" s="170" t="str">
        <f t="shared" si="20"/>
        <v/>
      </c>
      <c r="AG30" s="171"/>
      <c r="AH30" s="172"/>
      <c r="AI30" s="172"/>
      <c r="AJ30" s="172"/>
      <c r="AK30" s="172"/>
      <c r="AL30" s="172"/>
      <c r="AM30" s="165"/>
      <c r="AN30" s="173"/>
      <c r="AO30" s="173"/>
      <c r="AP30" s="172"/>
      <c r="AQ30" s="165"/>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row>
    <row r="31" spans="1:75" ht="35.1" customHeight="1" x14ac:dyDescent="0.3">
      <c r="A31" s="313"/>
      <c r="B31" s="293"/>
      <c r="C31" s="293"/>
      <c r="D31" s="293"/>
      <c r="E31" s="293"/>
      <c r="F31" s="152"/>
      <c r="G31" s="282"/>
      <c r="H31" s="153"/>
      <c r="I31" s="293"/>
      <c r="J31" s="295"/>
      <c r="K31" s="288"/>
      <c r="L31" s="291"/>
      <c r="M31" s="303"/>
      <c r="N31" s="317">
        <f t="shared" si="17"/>
        <v>0</v>
      </c>
      <c r="O31" s="288"/>
      <c r="P31" s="291"/>
      <c r="Q31" s="284"/>
      <c r="R31" s="163">
        <v>4</v>
      </c>
      <c r="S31" s="183"/>
      <c r="T31" s="164" t="str">
        <f t="shared" ref="T31:T33" si="21">IF(OR(U31="Preventivo",U31="Detectivo"),"Probabilidad",IF(U31="Correctivo","Impacto",""))</f>
        <v/>
      </c>
      <c r="U31" s="165"/>
      <c r="V31" s="165"/>
      <c r="W31" s="166" t="str">
        <f t="shared" si="18"/>
        <v/>
      </c>
      <c r="X31" s="165"/>
      <c r="Y31" s="165"/>
      <c r="Z31" s="165"/>
      <c r="AA31" s="167" t="str">
        <f>IFERROR(IF(AND(T30="Probabilidad",T31="Probabilidad"),(AC30-(+AC30*W31)),IF(AND(T30="Impacto",T31="Probabilidad"),(AC29-(+AC29*W31)),IF(T31="Impacto",AC30,""))),"")</f>
        <v/>
      </c>
      <c r="AB31" s="168" t="str">
        <f t="shared" si="1"/>
        <v/>
      </c>
      <c r="AC31" s="169" t="str">
        <f t="shared" si="19"/>
        <v/>
      </c>
      <c r="AD31" s="168" t="str">
        <f t="shared" si="3"/>
        <v/>
      </c>
      <c r="AE31" s="169" t="str">
        <f>IFERROR(IF(AND(T30="Impacto",T31="Impacto"),(AE30-(+AE30*W31)),IF(AND(T30="Probabilidad",T31="Impacto"),(AE29-(+AE29*W31)),IF(T31="Probabilidad",AE30,""))),"")</f>
        <v/>
      </c>
      <c r="AF31" s="170" t="str">
        <f>IFERROR(IF(OR(AND(AB31="Muy Baja",AD31="Leve"),AND(AB31="Muy Baja",AD31="Menor"),AND(AB31="Baja",AD31="Leve")),"Bajo",IF(OR(AND(AB31="Muy baja",AD31="Moderado"),AND(AB31="Baja",AD31="Menor"),AND(AB31="Baja",AD31="Moderado"),AND(AB31="Media",AD31="Leve"),AND(AB31="Media",AD31="Menor"),AND(AB31="Media",AD31="Moderado"),AND(AB31="Alta",AD31="Leve"),AND(AB31="Alta",AD31="Menor")),"Moderado",IF(OR(AND(AB31="Muy Baja",AD31="Mayor"),AND(AB31="Baja",AD31="Mayor"),AND(AB31="Media",AD31="Mayor"),AND(AB31="Alta",AD31="Moderado"),AND(AB31="Alta",AD31="Mayor"),AND(AB31="Muy Alta",AD31="Leve"),AND(AB31="Muy Alta",AD31="Menor"),AND(AB31="Muy Alta",AD31="Moderado"),AND(AB31="Muy Alta",AD31="Mayor")),"Alto",IF(OR(AND(AB31="Muy Baja",AD31="Catastrófico"),AND(AB31="Baja",AD31="Catastrófico"),AND(AB31="Media",AD31="Catastrófico"),AND(AB31="Alta",AD31="Catastrófico"),AND(AB31="Muy Alta",AD31="Catastrófico")),"Extremo","")))),"")</f>
        <v/>
      </c>
      <c r="AG31" s="171"/>
      <c r="AH31" s="172"/>
      <c r="AI31" s="172"/>
      <c r="AJ31" s="172"/>
      <c r="AK31" s="172"/>
      <c r="AL31" s="172"/>
      <c r="AM31" s="165"/>
      <c r="AN31" s="173"/>
      <c r="AO31" s="173"/>
      <c r="AP31" s="172"/>
      <c r="AQ31" s="165"/>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row>
    <row r="32" spans="1:75" ht="35.1" customHeight="1" x14ac:dyDescent="0.3">
      <c r="A32" s="313"/>
      <c r="B32" s="293"/>
      <c r="C32" s="293"/>
      <c r="D32" s="293"/>
      <c r="E32" s="293"/>
      <c r="F32" s="152"/>
      <c r="G32" s="282"/>
      <c r="H32" s="153"/>
      <c r="I32" s="293"/>
      <c r="J32" s="295"/>
      <c r="K32" s="288"/>
      <c r="L32" s="291"/>
      <c r="M32" s="303"/>
      <c r="N32" s="317">
        <f t="shared" si="17"/>
        <v>0</v>
      </c>
      <c r="O32" s="288"/>
      <c r="P32" s="291"/>
      <c r="Q32" s="284"/>
      <c r="R32" s="163">
        <v>5</v>
      </c>
      <c r="S32" s="183"/>
      <c r="T32" s="164" t="str">
        <f t="shared" si="21"/>
        <v/>
      </c>
      <c r="U32" s="165"/>
      <c r="V32" s="165"/>
      <c r="W32" s="166" t="str">
        <f t="shared" si="18"/>
        <v/>
      </c>
      <c r="X32" s="165"/>
      <c r="Y32" s="165"/>
      <c r="Z32" s="165"/>
      <c r="AA32" s="167" t="str">
        <f>IFERROR(IF(AND(T31="Probabilidad",T32="Probabilidad"),(AC31-(+AC31*W32)),IF(AND(T31="Impacto",T32="Probabilidad"),(AC30-(+AC30*W32)),IF(T32="Impacto",AC31,""))),"")</f>
        <v/>
      </c>
      <c r="AB32" s="168" t="str">
        <f t="shared" si="1"/>
        <v/>
      </c>
      <c r="AC32" s="169" t="str">
        <f t="shared" si="19"/>
        <v/>
      </c>
      <c r="AD32" s="168" t="str">
        <f t="shared" si="3"/>
        <v/>
      </c>
      <c r="AE32" s="169" t="str">
        <f>IFERROR(IF(AND(T31="Impacto",T32="Impacto"),(AE31-(+AE31*W32)),IF(AND(T31="Probabilidad",T32="Impacto"),(AE30-(+AE30*W32)),IF(T32="Probabilidad",AE31,""))),"")</f>
        <v/>
      </c>
      <c r="AF32" s="170" t="str">
        <f t="shared" ref="AF32:AF33" si="22">IFERROR(IF(OR(AND(AB32="Muy Baja",AD32="Leve"),AND(AB32="Muy Baja",AD32="Menor"),AND(AB32="Baja",AD32="Leve")),"Bajo",IF(OR(AND(AB32="Muy baja",AD32="Moderado"),AND(AB32="Baja",AD32="Menor"),AND(AB32="Baja",AD32="Moderado"),AND(AB32="Media",AD32="Leve"),AND(AB32="Media",AD32="Menor"),AND(AB32="Media",AD32="Moderado"),AND(AB32="Alta",AD32="Leve"),AND(AB32="Alta",AD32="Menor")),"Moderado",IF(OR(AND(AB32="Muy Baja",AD32="Mayor"),AND(AB32="Baja",AD32="Mayor"),AND(AB32="Media",AD32="Mayor"),AND(AB32="Alta",AD32="Moderado"),AND(AB32="Alta",AD32="Mayor"),AND(AB32="Muy Alta",AD32="Leve"),AND(AB32="Muy Alta",AD32="Menor"),AND(AB32="Muy Alta",AD32="Moderado"),AND(AB32="Muy Alta",AD32="Mayor")),"Alto",IF(OR(AND(AB32="Muy Baja",AD32="Catastrófico"),AND(AB32="Baja",AD32="Catastrófico"),AND(AB32="Media",AD32="Catastrófico"),AND(AB32="Alta",AD32="Catastrófico"),AND(AB32="Muy Alta",AD32="Catastrófico")),"Extremo","")))),"")</f>
        <v/>
      </c>
      <c r="AG32" s="171"/>
      <c r="AH32" s="172"/>
      <c r="AI32" s="172"/>
      <c r="AJ32" s="172"/>
      <c r="AK32" s="172"/>
      <c r="AL32" s="172"/>
      <c r="AM32" s="165"/>
      <c r="AN32" s="173"/>
      <c r="AO32" s="173"/>
      <c r="AP32" s="172"/>
      <c r="AQ32" s="165"/>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row>
    <row r="33" spans="1:75" ht="35.1" customHeight="1" x14ac:dyDescent="0.3">
      <c r="A33" s="314"/>
      <c r="B33" s="294"/>
      <c r="C33" s="293"/>
      <c r="D33" s="293"/>
      <c r="E33" s="293"/>
      <c r="F33" s="152"/>
      <c r="G33" s="298"/>
      <c r="H33" s="153"/>
      <c r="I33" s="294"/>
      <c r="J33" s="296"/>
      <c r="K33" s="289"/>
      <c r="L33" s="292"/>
      <c r="M33" s="304"/>
      <c r="N33" s="318">
        <f t="shared" si="17"/>
        <v>0</v>
      </c>
      <c r="O33" s="289"/>
      <c r="P33" s="292"/>
      <c r="Q33" s="285"/>
      <c r="R33" s="163">
        <v>6</v>
      </c>
      <c r="S33" s="183"/>
      <c r="T33" s="164" t="str">
        <f t="shared" si="21"/>
        <v/>
      </c>
      <c r="U33" s="165"/>
      <c r="V33" s="165"/>
      <c r="W33" s="166" t="str">
        <f t="shared" si="18"/>
        <v/>
      </c>
      <c r="X33" s="165"/>
      <c r="Y33" s="165"/>
      <c r="Z33" s="165"/>
      <c r="AA33" s="167" t="str">
        <f>IFERROR(IF(AND(T32="Probabilidad",T33="Probabilidad"),(AC32-(+AC32*W33)),IF(AND(T32="Impacto",T33="Probabilidad"),(AC31-(+AC31*W33)),IF(T33="Impacto",AC32,""))),"")</f>
        <v/>
      </c>
      <c r="AB33" s="168" t="str">
        <f t="shared" si="1"/>
        <v/>
      </c>
      <c r="AC33" s="169" t="str">
        <f t="shared" si="19"/>
        <v/>
      </c>
      <c r="AD33" s="168" t="str">
        <f t="shared" si="3"/>
        <v/>
      </c>
      <c r="AE33" s="169" t="str">
        <f>IFERROR(IF(AND(T32="Impacto",T33="Impacto"),(AE32-(+AE32*W33)),IF(AND(T32="Probabilidad",T33="Impacto"),(AE31-(+AE31*W33)),IF(T33="Probabilidad",AE32,""))),"")</f>
        <v/>
      </c>
      <c r="AF33" s="170" t="str">
        <f t="shared" si="22"/>
        <v/>
      </c>
      <c r="AG33" s="171"/>
      <c r="AH33" s="172"/>
      <c r="AI33" s="172"/>
      <c r="AJ33" s="172"/>
      <c r="AK33" s="172"/>
      <c r="AL33" s="172"/>
      <c r="AM33" s="165"/>
      <c r="AN33" s="173"/>
      <c r="AO33" s="173"/>
      <c r="AP33" s="172"/>
      <c r="AQ33" s="165"/>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row>
    <row r="34" spans="1:75" ht="35.1" customHeight="1" x14ac:dyDescent="0.3">
      <c r="A34" s="312">
        <v>5</v>
      </c>
      <c r="B34" s="311" t="s">
        <v>127</v>
      </c>
      <c r="C34" s="311" t="s">
        <v>246</v>
      </c>
      <c r="D34" s="311" t="s">
        <v>249</v>
      </c>
      <c r="E34" s="311" t="s">
        <v>266</v>
      </c>
      <c r="F34" s="185" t="s">
        <v>355</v>
      </c>
      <c r="G34" s="281" t="s">
        <v>328</v>
      </c>
      <c r="H34" s="187" t="s">
        <v>330</v>
      </c>
      <c r="I34" s="311" t="s">
        <v>120</v>
      </c>
      <c r="J34" s="308">
        <v>50</v>
      </c>
      <c r="K34" s="287" t="str">
        <f>IF(J34&lt;=0,"",IF(J34&lt;=2,"Muy Baja",IF(J34&lt;=24,"Baja",IF(J34&lt;=500,"Media",IF(J34&lt;=5000,"Alta","Muy Alta")))))</f>
        <v>Media</v>
      </c>
      <c r="L34" s="290">
        <f>IF(K34="","",IF(K34="Muy Baja",0.2,IF(K34="Baja",0.4,IF(K34="Media",0.6,IF(K34="Alta",0.8,IF(K34="Muy Alta",1,))))))</f>
        <v>0.6</v>
      </c>
      <c r="M34" s="305" t="s">
        <v>148</v>
      </c>
      <c r="N34" s="290" t="str">
        <f>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287" t="str">
        <f>IF(OR(N34='Tabla Impacto'!$C$11,N34='Tabla Impacto'!$D$11),"Leve",IF(OR(N34='Tabla Impacto'!$C$12,N34='Tabla Impacto'!$D$12),"Menor",IF(OR(N34='Tabla Impacto'!$C$13,N34='Tabla Impacto'!$D$13),"Moderado",IF(OR(N34='Tabla Impacto'!$C$14,N34='Tabla Impacto'!$D$14),"Mayor",IF(OR(N34='Tabla Impacto'!$C$15,N34='Tabla Impacto'!$D$15),"Catastrófico","")))))</f>
        <v>Moderado</v>
      </c>
      <c r="P34" s="290">
        <f>IF(O34="","",IF(O34="Leve",0.2,IF(O34="Menor",0.4,IF(O34="Moderado",0.6,IF(O34="Mayor",0.8,IF(O34="Catastrófico",1,))))))</f>
        <v>0.6</v>
      </c>
      <c r="Q34" s="283" t="str">
        <f>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Moderado</v>
      </c>
      <c r="R34" s="163">
        <v>1</v>
      </c>
      <c r="S34" s="197" t="s">
        <v>331</v>
      </c>
      <c r="T34" s="164" t="str">
        <f>IF(OR(U34="Preventivo",U34="Detectivo"),"Probabilidad",IF(U34="Correctivo","Impacto",""))</f>
        <v>Probabilidad</v>
      </c>
      <c r="U34" s="165" t="s">
        <v>14</v>
      </c>
      <c r="V34" s="165" t="s">
        <v>8</v>
      </c>
      <c r="W34" s="166" t="str">
        <f>IF(AND(U34="Preventivo",V34="Automático"),"50%",IF(AND(U34="Preventivo",V34="Manual"),"40%",IF(AND(U34="Detectivo",V34="Automático"),"40%",IF(AND(U34="Detectivo",V34="Manual"),"30%",IF(AND(U34="Correctivo",V34="Automático"),"35%",IF(AND(U34="Correctivo",V34="Manual"),"25%",""))))))</f>
        <v>30%</v>
      </c>
      <c r="X34" s="165" t="s">
        <v>18</v>
      </c>
      <c r="Y34" s="165" t="s">
        <v>21</v>
      </c>
      <c r="Z34" s="165" t="s">
        <v>116</v>
      </c>
      <c r="AA34" s="167">
        <f>IFERROR(IF(T34="Probabilidad",(L34-(+L34*W34)),IF(T34="Impacto",L34,"")),"")</f>
        <v>0.42</v>
      </c>
      <c r="AB34" s="168" t="str">
        <f>IFERROR(IF(AA34="","",IF(AA34&lt;=0.2,"Muy Baja",IF(AA34&lt;=0.4,"Baja",IF(AA34&lt;=0.6,"Media",IF(AA34&lt;=0.8,"Alta","Muy Alta"))))),"")</f>
        <v>Media</v>
      </c>
      <c r="AC34" s="169">
        <f>+AA34</f>
        <v>0.42</v>
      </c>
      <c r="AD34" s="168" t="str">
        <f>IFERROR(IF(AE34="","",IF(AE34&lt;=0.2,"Leve",IF(AE34&lt;=0.4,"Menor",IF(AE34&lt;=0.6,"Moderado",IF(AE34&lt;=0.8,"Mayor","Catastrófico"))))),"")</f>
        <v>Moderado</v>
      </c>
      <c r="AE34" s="169">
        <f>IFERROR(IF(T34="Impacto",(P34-(+P34*W34)),IF(T34="Probabilidad",P34,"")),"")</f>
        <v>0.6</v>
      </c>
      <c r="AF34" s="170" t="str">
        <f>IFERROR(IF(OR(AND(AB34="Muy Baja",AD34="Leve"),AND(AB34="Muy Baja",AD34="Menor"),AND(AB34="Baja",AD34="Leve")),"Bajo",IF(OR(AND(AB34="Muy baja",AD34="Moderado"),AND(AB34="Baja",AD34="Menor"),AND(AB34="Baja",AD34="Moderado"),AND(AB34="Media",AD34="Leve"),AND(AB34="Media",AD34="Menor"),AND(AB34="Media",AD34="Moderado"),AND(AB34="Alta",AD34="Leve"),AND(AB34="Alta",AD34="Menor")),"Moderado",IF(OR(AND(AB34="Muy Baja",AD34="Mayor"),AND(AB34="Baja",AD34="Mayor"),AND(AB34="Media",AD34="Mayor"),AND(AB34="Alta",AD34="Moderado"),AND(AB34="Alta",AD34="Mayor"),AND(AB34="Muy Alta",AD34="Leve"),AND(AB34="Muy Alta",AD34="Menor"),AND(AB34="Muy Alta",AD34="Moderado"),AND(AB34="Muy Alta",AD34="Mayor")),"Alto",IF(OR(AND(AB34="Muy Baja",AD34="Catastrófico"),AND(AB34="Baja",AD34="Catastrófico"),AND(AB34="Media",AD34="Catastrófico"),AND(AB34="Alta",AD34="Catastrófico"),AND(AB34="Muy Alta",AD34="Catastrófico")),"Extremo","")))),"")</f>
        <v>Moderado</v>
      </c>
      <c r="AG34" s="171" t="s">
        <v>131</v>
      </c>
      <c r="AH34" s="172" t="s">
        <v>352</v>
      </c>
      <c r="AI34" s="172"/>
      <c r="AJ34" s="172"/>
      <c r="AK34" s="172"/>
      <c r="AL34" s="172"/>
      <c r="AM34" s="165"/>
      <c r="AN34" s="173"/>
      <c r="AO34" s="173"/>
      <c r="AP34" s="172"/>
      <c r="AQ34" s="165"/>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row>
    <row r="35" spans="1:75" ht="35.1" customHeight="1" x14ac:dyDescent="0.3">
      <c r="A35" s="313"/>
      <c r="B35" s="293"/>
      <c r="C35" s="293"/>
      <c r="D35" s="293"/>
      <c r="E35" s="293"/>
      <c r="F35" s="152"/>
      <c r="G35" s="282"/>
      <c r="H35" s="196" t="s">
        <v>329</v>
      </c>
      <c r="I35" s="293"/>
      <c r="J35" s="295"/>
      <c r="K35" s="288"/>
      <c r="L35" s="291"/>
      <c r="M35" s="303"/>
      <c r="N35" s="291">
        <f t="shared" ref="N35:N39" si="23">IF(NOT(ISERROR(MATCH(M35,_xlfn.ANCHORARRAY(H46),0))),L48&amp;"Por favor no seleccionar los criterios de impacto",M35)</f>
        <v>0</v>
      </c>
      <c r="O35" s="288"/>
      <c r="P35" s="291"/>
      <c r="Q35" s="284"/>
      <c r="R35" s="163">
        <v>2</v>
      </c>
      <c r="S35" s="183" t="s">
        <v>353</v>
      </c>
      <c r="T35" s="164" t="str">
        <f>IF(OR(U35="Preventivo",U35="Detectivo"),"Probabilidad",IF(U35="Correctivo","Impacto",""))</f>
        <v>Probabilidad</v>
      </c>
      <c r="U35" s="165" t="s">
        <v>14</v>
      </c>
      <c r="V35" s="165" t="s">
        <v>8</v>
      </c>
      <c r="W35" s="166" t="str">
        <f t="shared" ref="W35:W39" si="24">IF(AND(U35="Preventivo",V35="Automático"),"50%",IF(AND(U35="Preventivo",V35="Manual"),"40%",IF(AND(U35="Detectivo",V35="Automático"),"40%",IF(AND(U35="Detectivo",V35="Manual"),"30%",IF(AND(U35="Correctivo",V35="Automático"),"35%",IF(AND(U35="Correctivo",V35="Manual"),"25%",""))))))</f>
        <v>30%</v>
      </c>
      <c r="X35" s="165" t="s">
        <v>18</v>
      </c>
      <c r="Y35" s="165" t="s">
        <v>21</v>
      </c>
      <c r="Z35" s="165" t="s">
        <v>116</v>
      </c>
      <c r="AA35" s="167">
        <f>IFERROR(IF(AND(T34="Probabilidad",T35="Probabilidad"),(AC34-(+AC34*W35)),IF(T35="Probabilidad",(L34-(+L34*W35)),IF(T35="Impacto",AC34,""))),"")</f>
        <v>0.29399999999999998</v>
      </c>
      <c r="AB35" s="168" t="str">
        <f t="shared" si="1"/>
        <v>Baja</v>
      </c>
      <c r="AC35" s="169">
        <f t="shared" ref="AC35:AC39" si="25">+AA35</f>
        <v>0.29399999999999998</v>
      </c>
      <c r="AD35" s="168" t="str">
        <f t="shared" si="3"/>
        <v>Moderado</v>
      </c>
      <c r="AE35" s="169">
        <f>IFERROR(IF(AND(T34="Impacto",T35="Impacto"),(AE34-(+AE34*W35)),IF(T35="Impacto",(P34-(+P34*W35)),IF(T35="Probabilidad",AE34,""))),"")</f>
        <v>0.6</v>
      </c>
      <c r="AF35" s="170" t="str">
        <f t="shared" ref="AF35:AF36" si="26">IFERROR(IF(OR(AND(AB35="Muy Baja",AD35="Leve"),AND(AB35="Muy Baja",AD35="Menor"),AND(AB35="Baja",AD35="Leve")),"Bajo",IF(OR(AND(AB35="Muy baja",AD35="Moderado"),AND(AB35="Baja",AD35="Menor"),AND(AB35="Baja",AD35="Moderado"),AND(AB35="Media",AD35="Leve"),AND(AB35="Media",AD35="Menor"),AND(AB35="Media",AD35="Moderado"),AND(AB35="Alta",AD35="Leve"),AND(AB35="Alta",AD35="Menor")),"Moderado",IF(OR(AND(AB35="Muy Baja",AD35="Mayor"),AND(AB35="Baja",AD35="Mayor"),AND(AB35="Media",AD35="Mayor"),AND(AB35="Alta",AD35="Moderado"),AND(AB35="Alta",AD35="Mayor"),AND(AB35="Muy Alta",AD35="Leve"),AND(AB35="Muy Alta",AD35="Menor"),AND(AB35="Muy Alta",AD35="Moderado"),AND(AB35="Muy Alta",AD35="Mayor")),"Alto",IF(OR(AND(AB35="Muy Baja",AD35="Catastrófico"),AND(AB35="Baja",AD35="Catastrófico"),AND(AB35="Media",AD35="Catastrófico"),AND(AB35="Alta",AD35="Catastrófico"),AND(AB35="Muy Alta",AD35="Catastrófico")),"Extremo","")))),"")</f>
        <v>Moderado</v>
      </c>
      <c r="AG35" s="171" t="s">
        <v>131</v>
      </c>
      <c r="AH35" s="172" t="s">
        <v>354</v>
      </c>
      <c r="AI35" s="172"/>
      <c r="AJ35" s="172"/>
      <c r="AK35" s="172"/>
      <c r="AL35" s="172"/>
      <c r="AM35" s="165"/>
      <c r="AN35" s="173"/>
      <c r="AO35" s="173"/>
      <c r="AP35" s="172"/>
      <c r="AQ35" s="165"/>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row>
    <row r="36" spans="1:75" ht="35.1" customHeight="1" x14ac:dyDescent="0.3">
      <c r="A36" s="313"/>
      <c r="B36" s="293"/>
      <c r="C36" s="293"/>
      <c r="D36" s="293"/>
      <c r="E36" s="293"/>
      <c r="F36" s="152"/>
      <c r="G36" s="282"/>
      <c r="H36" s="153"/>
      <c r="I36" s="293"/>
      <c r="J36" s="295"/>
      <c r="K36" s="288"/>
      <c r="L36" s="291"/>
      <c r="M36" s="303"/>
      <c r="N36" s="291">
        <f t="shared" si="23"/>
        <v>0</v>
      </c>
      <c r="O36" s="288"/>
      <c r="P36" s="291"/>
      <c r="Q36" s="284"/>
      <c r="R36" s="163">
        <v>3</v>
      </c>
      <c r="S36" s="174"/>
      <c r="T36" s="164" t="str">
        <f>IF(OR(U36="Preventivo",U36="Detectivo"),"Probabilidad",IF(U36="Correctivo","Impacto",""))</f>
        <v/>
      </c>
      <c r="U36" s="165"/>
      <c r="V36" s="165"/>
      <c r="W36" s="166" t="str">
        <f t="shared" si="24"/>
        <v/>
      </c>
      <c r="X36" s="165"/>
      <c r="Y36" s="165"/>
      <c r="Z36" s="165"/>
      <c r="AA36" s="167" t="str">
        <f>IFERROR(IF(AND(T35="Probabilidad",T36="Probabilidad"),(AC35-(+AC35*W36)),IF(AND(T35="Impacto",T36="Probabilidad"),(AC34-(+AC34*W36)),IF(T36="Impacto",AC35,""))),"")</f>
        <v/>
      </c>
      <c r="AB36" s="168" t="str">
        <f t="shared" si="1"/>
        <v/>
      </c>
      <c r="AC36" s="169" t="str">
        <f t="shared" si="25"/>
        <v/>
      </c>
      <c r="AD36" s="168" t="str">
        <f t="shared" si="3"/>
        <v/>
      </c>
      <c r="AE36" s="169" t="str">
        <f>IFERROR(IF(AND(T35="Impacto",T36="Impacto"),(AE35-(+AE35*W36)),IF(AND(T35="Probabilidad",T36="Impacto"),(AE34-(+AE34*W36)),IF(T36="Probabilidad",AE35,""))),"")</f>
        <v/>
      </c>
      <c r="AF36" s="170" t="str">
        <f t="shared" si="26"/>
        <v/>
      </c>
      <c r="AG36" s="171"/>
      <c r="AH36" s="172"/>
      <c r="AI36" s="172"/>
      <c r="AJ36" s="172"/>
      <c r="AK36" s="172"/>
      <c r="AL36" s="172"/>
      <c r="AM36" s="165"/>
      <c r="AN36" s="173"/>
      <c r="AO36" s="173"/>
      <c r="AP36" s="172"/>
      <c r="AQ36" s="165"/>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row>
    <row r="37" spans="1:75" ht="35.1" customHeight="1" x14ac:dyDescent="0.3">
      <c r="A37" s="313"/>
      <c r="B37" s="293"/>
      <c r="C37" s="293"/>
      <c r="D37" s="293"/>
      <c r="E37" s="293"/>
      <c r="F37" s="152"/>
      <c r="G37" s="282"/>
      <c r="H37" s="153"/>
      <c r="I37" s="293"/>
      <c r="J37" s="295"/>
      <c r="K37" s="288"/>
      <c r="L37" s="291"/>
      <c r="M37" s="303"/>
      <c r="N37" s="291">
        <f t="shared" si="23"/>
        <v>0</v>
      </c>
      <c r="O37" s="288"/>
      <c r="P37" s="291"/>
      <c r="Q37" s="284"/>
      <c r="R37" s="163">
        <v>4</v>
      </c>
      <c r="S37" s="183"/>
      <c r="T37" s="164" t="str">
        <f t="shared" ref="T37:T39" si="27">IF(OR(U37="Preventivo",U37="Detectivo"),"Probabilidad",IF(U37="Correctivo","Impacto",""))</f>
        <v/>
      </c>
      <c r="U37" s="165"/>
      <c r="V37" s="165"/>
      <c r="W37" s="166" t="str">
        <f t="shared" si="24"/>
        <v/>
      </c>
      <c r="X37" s="165"/>
      <c r="Y37" s="165"/>
      <c r="Z37" s="165"/>
      <c r="AA37" s="167" t="str">
        <f>IFERROR(IF(AND(T36="Probabilidad",T37="Probabilidad"),(AC36-(+AC36*W37)),IF(AND(T36="Impacto",T37="Probabilidad"),(AC35-(+AC35*W37)),IF(T37="Impacto",AC36,""))),"")</f>
        <v/>
      </c>
      <c r="AB37" s="168" t="str">
        <f t="shared" si="1"/>
        <v/>
      </c>
      <c r="AC37" s="169" t="str">
        <f t="shared" si="25"/>
        <v/>
      </c>
      <c r="AD37" s="168" t="str">
        <f t="shared" si="3"/>
        <v/>
      </c>
      <c r="AE37" s="169" t="str">
        <f>IFERROR(IF(AND(T36="Impacto",T37="Impacto"),(AE36-(+AE36*W37)),IF(AND(T36="Probabilidad",T37="Impacto"),(AE35-(+AE35*W37)),IF(T37="Probabilidad",AE36,""))),"")</f>
        <v/>
      </c>
      <c r="AF37" s="170" t="str">
        <f>IFERROR(IF(OR(AND(AB37="Muy Baja",AD37="Leve"),AND(AB37="Muy Baja",AD37="Menor"),AND(AB37="Baja",AD37="Leve")),"Bajo",IF(OR(AND(AB37="Muy baja",AD37="Moderado"),AND(AB37="Baja",AD37="Menor"),AND(AB37="Baja",AD37="Moderado"),AND(AB37="Media",AD37="Leve"),AND(AB37="Media",AD37="Menor"),AND(AB37="Media",AD37="Moderado"),AND(AB37="Alta",AD37="Leve"),AND(AB37="Alta",AD37="Menor")),"Moderado",IF(OR(AND(AB37="Muy Baja",AD37="Mayor"),AND(AB37="Baja",AD37="Mayor"),AND(AB37="Media",AD37="Mayor"),AND(AB37="Alta",AD37="Moderado"),AND(AB37="Alta",AD37="Mayor"),AND(AB37="Muy Alta",AD37="Leve"),AND(AB37="Muy Alta",AD37="Menor"),AND(AB37="Muy Alta",AD37="Moderado"),AND(AB37="Muy Alta",AD37="Mayor")),"Alto",IF(OR(AND(AB37="Muy Baja",AD37="Catastrófico"),AND(AB37="Baja",AD37="Catastrófico"),AND(AB37="Media",AD37="Catastrófico"),AND(AB37="Alta",AD37="Catastrófico"),AND(AB37="Muy Alta",AD37="Catastrófico")),"Extremo","")))),"")</f>
        <v/>
      </c>
      <c r="AG37" s="171"/>
      <c r="AH37" s="172"/>
      <c r="AI37" s="172"/>
      <c r="AJ37" s="172"/>
      <c r="AK37" s="172"/>
      <c r="AL37" s="172"/>
      <c r="AM37" s="165"/>
      <c r="AN37" s="173"/>
      <c r="AO37" s="173"/>
      <c r="AP37" s="172"/>
      <c r="AQ37" s="165"/>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row>
    <row r="38" spans="1:75" ht="35.1" customHeight="1" x14ac:dyDescent="0.3">
      <c r="A38" s="313"/>
      <c r="B38" s="293"/>
      <c r="C38" s="293"/>
      <c r="D38" s="293"/>
      <c r="E38" s="293"/>
      <c r="F38" s="152"/>
      <c r="G38" s="282"/>
      <c r="H38" s="153"/>
      <c r="I38" s="293"/>
      <c r="J38" s="295"/>
      <c r="K38" s="288"/>
      <c r="L38" s="291"/>
      <c r="M38" s="303"/>
      <c r="N38" s="291">
        <f t="shared" si="23"/>
        <v>0</v>
      </c>
      <c r="O38" s="288"/>
      <c r="P38" s="291"/>
      <c r="Q38" s="284"/>
      <c r="R38" s="163">
        <v>5</v>
      </c>
      <c r="S38" s="183"/>
      <c r="T38" s="164" t="str">
        <f t="shared" si="27"/>
        <v/>
      </c>
      <c r="U38" s="165"/>
      <c r="V38" s="165"/>
      <c r="W38" s="166" t="str">
        <f t="shared" si="24"/>
        <v/>
      </c>
      <c r="X38" s="165"/>
      <c r="Y38" s="165"/>
      <c r="Z38" s="165"/>
      <c r="AA38" s="167" t="str">
        <f>IFERROR(IF(AND(T37="Probabilidad",T38="Probabilidad"),(AC37-(+AC37*W38)),IF(AND(T37="Impacto",T38="Probabilidad"),(AC36-(+AC36*W38)),IF(T38="Impacto",AC37,""))),"")</f>
        <v/>
      </c>
      <c r="AB38" s="168" t="str">
        <f t="shared" si="1"/>
        <v/>
      </c>
      <c r="AC38" s="169" t="str">
        <f t="shared" si="25"/>
        <v/>
      </c>
      <c r="AD38" s="168" t="str">
        <f t="shared" si="3"/>
        <v/>
      </c>
      <c r="AE38" s="169" t="str">
        <f>IFERROR(IF(AND(T37="Impacto",T38="Impacto"),(AE37-(+AE37*W38)),IF(AND(T37="Probabilidad",T38="Impacto"),(AE36-(+AE36*W38)),IF(T38="Probabilidad",AE37,""))),"")</f>
        <v/>
      </c>
      <c r="AF38" s="170" t="str">
        <f t="shared" ref="AF38" si="28">IFERROR(IF(OR(AND(AB38="Muy Baja",AD38="Leve"),AND(AB38="Muy Baja",AD38="Menor"),AND(AB38="Baja",AD38="Leve")),"Bajo",IF(OR(AND(AB38="Muy baja",AD38="Moderado"),AND(AB38="Baja",AD38="Menor"),AND(AB38="Baja",AD38="Moderado"),AND(AB38="Media",AD38="Leve"),AND(AB38="Media",AD38="Menor"),AND(AB38="Media",AD38="Moderado"),AND(AB38="Alta",AD38="Leve"),AND(AB38="Alta",AD38="Menor")),"Moderado",IF(OR(AND(AB38="Muy Baja",AD38="Mayor"),AND(AB38="Baja",AD38="Mayor"),AND(AB38="Media",AD38="Mayor"),AND(AB38="Alta",AD38="Moderado"),AND(AB38="Alta",AD38="Mayor"),AND(AB38="Muy Alta",AD38="Leve"),AND(AB38="Muy Alta",AD38="Menor"),AND(AB38="Muy Alta",AD38="Moderado"),AND(AB38="Muy Alta",AD38="Mayor")),"Alto",IF(OR(AND(AB38="Muy Baja",AD38="Catastrófico"),AND(AB38="Baja",AD38="Catastrófico"),AND(AB38="Media",AD38="Catastrófico"),AND(AB38="Alta",AD38="Catastrófico"),AND(AB38="Muy Alta",AD38="Catastrófico")),"Extremo","")))),"")</f>
        <v/>
      </c>
      <c r="AG38" s="171"/>
      <c r="AH38" s="172"/>
      <c r="AI38" s="172"/>
      <c r="AJ38" s="172"/>
      <c r="AK38" s="172"/>
      <c r="AL38" s="172"/>
      <c r="AM38" s="165"/>
      <c r="AN38" s="173"/>
      <c r="AO38" s="173"/>
      <c r="AP38" s="172"/>
      <c r="AQ38" s="165"/>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row>
    <row r="39" spans="1:75" ht="35.1" customHeight="1" x14ac:dyDescent="0.3">
      <c r="A39" s="314"/>
      <c r="B39" s="294"/>
      <c r="C39" s="294"/>
      <c r="D39" s="294"/>
      <c r="E39" s="294"/>
      <c r="F39" s="162"/>
      <c r="G39" s="298"/>
      <c r="H39" s="175"/>
      <c r="I39" s="294"/>
      <c r="J39" s="296"/>
      <c r="K39" s="289"/>
      <c r="L39" s="292"/>
      <c r="M39" s="304"/>
      <c r="N39" s="292">
        <f t="shared" si="23"/>
        <v>0</v>
      </c>
      <c r="O39" s="289"/>
      <c r="P39" s="292"/>
      <c r="Q39" s="285"/>
      <c r="R39" s="163">
        <v>6</v>
      </c>
      <c r="S39" s="183"/>
      <c r="T39" s="164" t="str">
        <f t="shared" si="27"/>
        <v/>
      </c>
      <c r="U39" s="178"/>
      <c r="V39" s="178"/>
      <c r="W39" s="166" t="str">
        <f t="shared" si="24"/>
        <v/>
      </c>
      <c r="X39" s="178"/>
      <c r="Y39" s="178"/>
      <c r="Z39" s="178"/>
      <c r="AA39" s="167" t="str">
        <f>IFERROR(IF(AND(T38="Probabilidad",T39="Probabilidad"),(AC38-(+AC38*W39)),IF(AND(T38="Impacto",T39="Probabilidad"),(AC37-(+AC37*W39)),IF(T39="Impacto",AC38,""))),"")</f>
        <v/>
      </c>
      <c r="AB39" s="168" t="str">
        <f t="shared" si="1"/>
        <v/>
      </c>
      <c r="AC39" s="169" t="str">
        <f t="shared" si="25"/>
        <v/>
      </c>
      <c r="AD39" s="168" t="str">
        <f>IFERROR(IF(AE39="","",IF(AE39&lt;=0.2,"Leve",IF(AE39&lt;=0.4,"Menor",IF(AE39&lt;=0.6,"Moderado",IF(AE39&lt;=0.8,"Mayor","Catastrófico"))))),"")</f>
        <v/>
      </c>
      <c r="AE39" s="169" t="str">
        <f>IFERROR(IF(AND(T38="Impacto",T39="Impacto"),(AE38-(+AE38*W39)),IF(AND(T38="Probabilidad",T39="Impacto"),(AE37-(+AE37*W39)),IF(T39="Probabilidad",AE38,""))),"")</f>
        <v/>
      </c>
      <c r="AF39" s="170" t="str">
        <f>IFERROR(IF(OR(AND(AB39="Muy Baja",AD39="Leve"),AND(AB39="Muy Baja",AD39="Menor"),AND(AB39="Baja",AD39="Leve")),"Bajo",IF(OR(AND(AB39="Muy baja",AD39="Moderado"),AND(AB39="Baja",AD39="Menor"),AND(AB39="Baja",AD39="Moderado"),AND(AB39="Media",AD39="Leve"),AND(AB39="Media",AD39="Menor"),AND(AB39="Media",AD39="Moderado"),AND(AB39="Alta",AD39="Leve"),AND(AB39="Alta",AD39="Menor")),"Moderado",IF(OR(AND(AB39="Muy Baja",AD39="Mayor"),AND(AB39="Baja",AD39="Mayor"),AND(AB39="Media",AD39="Mayor"),AND(AB39="Alta",AD39="Moderado"),AND(AB39="Alta",AD39="Mayor"),AND(AB39="Muy Alta",AD39="Leve"),AND(AB39="Muy Alta",AD39="Menor"),AND(AB39="Muy Alta",AD39="Moderado"),AND(AB39="Muy Alta",AD39="Mayor")),"Alto",IF(OR(AND(AB39="Muy Baja",AD39="Catastrófico"),AND(AB39="Baja",AD39="Catastrófico"),AND(AB39="Media",AD39="Catastrófico"),AND(AB39="Alta",AD39="Catastrófico"),AND(AB39="Muy Alta",AD39="Catastrófico")),"Extremo","")))),"")</f>
        <v/>
      </c>
      <c r="AG39" s="171"/>
      <c r="AH39" s="172"/>
      <c r="AI39" s="172"/>
      <c r="AJ39" s="172"/>
      <c r="AK39" s="172"/>
      <c r="AL39" s="172"/>
      <c r="AM39" s="165"/>
      <c r="AN39" s="173"/>
      <c r="AO39" s="173"/>
      <c r="AP39" s="172"/>
      <c r="AQ39" s="165"/>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row>
    <row r="40" spans="1:75" ht="35.1" customHeight="1" x14ac:dyDescent="0.3">
      <c r="A40" s="202"/>
      <c r="B40" s="203"/>
      <c r="C40" s="306" t="s">
        <v>134</v>
      </c>
      <c r="D40" s="306"/>
      <c r="E40" s="306"/>
      <c r="F40" s="306"/>
      <c r="G40" s="306"/>
      <c r="H40" s="306"/>
      <c r="I40" s="306"/>
      <c r="J40" s="306" t="s">
        <v>135</v>
      </c>
      <c r="K40" s="306"/>
      <c r="L40" s="306"/>
      <c r="M40" s="306"/>
      <c r="N40" s="306"/>
      <c r="O40" s="306"/>
      <c r="P40" s="306"/>
      <c r="Q40" s="307"/>
      <c r="R40" s="323" t="s">
        <v>136</v>
      </c>
      <c r="S40" s="306"/>
      <c r="T40" s="306"/>
      <c r="U40" s="306"/>
      <c r="V40" s="306"/>
      <c r="W40" s="306"/>
      <c r="X40" s="306"/>
      <c r="Y40" s="306"/>
      <c r="Z40" s="307"/>
      <c r="AA40" s="323" t="s">
        <v>137</v>
      </c>
      <c r="AB40" s="306"/>
      <c r="AC40" s="306"/>
      <c r="AD40" s="306"/>
      <c r="AE40" s="306"/>
      <c r="AF40" s="306"/>
      <c r="AG40" s="307"/>
      <c r="AH40" s="324" t="s">
        <v>301</v>
      </c>
      <c r="AI40" s="324"/>
      <c r="AJ40" s="324"/>
      <c r="AK40" s="324"/>
      <c r="AL40" s="324" t="s">
        <v>33</v>
      </c>
      <c r="AM40" s="324"/>
      <c r="AN40" s="324"/>
      <c r="AO40" s="324"/>
      <c r="AP40" s="324"/>
      <c r="AQ40" s="324"/>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row>
    <row r="41" spans="1:75" ht="35.1" customHeight="1" x14ac:dyDescent="0.3">
      <c r="A41" s="325" t="s">
        <v>0</v>
      </c>
      <c r="B41" s="327" t="s">
        <v>2</v>
      </c>
      <c r="C41" s="286" t="s">
        <v>234</v>
      </c>
      <c r="D41" s="286" t="s">
        <v>237</v>
      </c>
      <c r="E41" s="286" t="s">
        <v>235</v>
      </c>
      <c r="F41" s="286" t="s">
        <v>236</v>
      </c>
      <c r="G41" s="315" t="s">
        <v>1</v>
      </c>
      <c r="H41" s="315" t="s">
        <v>308</v>
      </c>
      <c r="I41" s="328" t="s">
        <v>47</v>
      </c>
      <c r="J41" s="329" t="s">
        <v>130</v>
      </c>
      <c r="K41" s="331" t="s">
        <v>32</v>
      </c>
      <c r="L41" s="332" t="s">
        <v>4</v>
      </c>
      <c r="M41" s="328" t="s">
        <v>84</v>
      </c>
      <c r="N41" s="328" t="s">
        <v>89</v>
      </c>
      <c r="O41" s="334" t="s">
        <v>42</v>
      </c>
      <c r="P41" s="332" t="s">
        <v>4</v>
      </c>
      <c r="Q41" s="329" t="s">
        <v>45</v>
      </c>
      <c r="R41" s="335" t="s">
        <v>10</v>
      </c>
      <c r="S41" s="330" t="s">
        <v>156</v>
      </c>
      <c r="T41" s="328" t="s">
        <v>11</v>
      </c>
      <c r="U41" s="330" t="s">
        <v>7</v>
      </c>
      <c r="V41" s="330"/>
      <c r="W41" s="330"/>
      <c r="X41" s="330"/>
      <c r="Y41" s="330"/>
      <c r="Z41" s="330"/>
      <c r="AA41" s="330" t="s">
        <v>133</v>
      </c>
      <c r="AB41" s="330" t="s">
        <v>43</v>
      </c>
      <c r="AC41" s="330" t="s">
        <v>4</v>
      </c>
      <c r="AD41" s="330" t="s">
        <v>44</v>
      </c>
      <c r="AE41" s="330" t="s">
        <v>4</v>
      </c>
      <c r="AF41" s="330" t="s">
        <v>46</v>
      </c>
      <c r="AG41" s="328" t="s">
        <v>28</v>
      </c>
      <c r="AH41" s="286" t="s">
        <v>302</v>
      </c>
      <c r="AI41" s="286" t="s">
        <v>303</v>
      </c>
      <c r="AJ41" s="286" t="s">
        <v>304</v>
      </c>
      <c r="AK41" s="286" t="s">
        <v>305</v>
      </c>
      <c r="AL41" s="337" t="s">
        <v>33</v>
      </c>
      <c r="AM41" s="330" t="s">
        <v>34</v>
      </c>
      <c r="AN41" s="330" t="s">
        <v>35</v>
      </c>
      <c r="AO41" s="330" t="s">
        <v>37</v>
      </c>
      <c r="AP41" s="330" t="s">
        <v>36</v>
      </c>
      <c r="AQ41" s="330" t="s">
        <v>38</v>
      </c>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row>
    <row r="42" spans="1:75" ht="35.1" customHeight="1" x14ac:dyDescent="0.3">
      <c r="A42" s="326"/>
      <c r="B42" s="327"/>
      <c r="C42" s="286"/>
      <c r="D42" s="286"/>
      <c r="E42" s="286"/>
      <c r="F42" s="286"/>
      <c r="G42" s="315"/>
      <c r="H42" s="315"/>
      <c r="I42" s="329"/>
      <c r="J42" s="330"/>
      <c r="K42" s="329"/>
      <c r="L42" s="333"/>
      <c r="M42" s="329"/>
      <c r="N42" s="329"/>
      <c r="O42" s="333"/>
      <c r="P42" s="333"/>
      <c r="Q42" s="330"/>
      <c r="R42" s="336"/>
      <c r="S42" s="330"/>
      <c r="T42" s="329"/>
      <c r="U42" s="205" t="s">
        <v>12</v>
      </c>
      <c r="V42" s="204" t="s">
        <v>16</v>
      </c>
      <c r="W42" s="204" t="s">
        <v>27</v>
      </c>
      <c r="X42" s="204" t="s">
        <v>17</v>
      </c>
      <c r="Y42" s="204" t="s">
        <v>20</v>
      </c>
      <c r="Z42" s="204" t="s">
        <v>23</v>
      </c>
      <c r="AA42" s="330"/>
      <c r="AB42" s="330"/>
      <c r="AC42" s="330"/>
      <c r="AD42" s="330"/>
      <c r="AE42" s="330"/>
      <c r="AF42" s="330"/>
      <c r="AG42" s="329"/>
      <c r="AH42" s="286"/>
      <c r="AI42" s="286"/>
      <c r="AJ42" s="286"/>
      <c r="AK42" s="286"/>
      <c r="AL42" s="338"/>
      <c r="AM42" s="330"/>
      <c r="AN42" s="330"/>
      <c r="AO42" s="330"/>
      <c r="AP42" s="330"/>
      <c r="AQ42" s="330"/>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row>
    <row r="43" spans="1:75" ht="35.1" customHeight="1" x14ac:dyDescent="0.3">
      <c r="A43" s="312">
        <v>1</v>
      </c>
      <c r="B43" s="311" t="s">
        <v>127</v>
      </c>
      <c r="C43" s="311" t="s">
        <v>241</v>
      </c>
      <c r="D43" s="320" t="s">
        <v>248</v>
      </c>
      <c r="E43" s="320" t="s">
        <v>261</v>
      </c>
      <c r="F43" s="185" t="s">
        <v>356</v>
      </c>
      <c r="G43" s="297" t="s">
        <v>357</v>
      </c>
      <c r="H43" s="177" t="s">
        <v>358</v>
      </c>
      <c r="I43" s="311" t="s">
        <v>120</v>
      </c>
      <c r="J43" s="308">
        <v>100</v>
      </c>
      <c r="K43" s="287" t="str">
        <f>IF(J43&lt;=0,"",IF(J43&lt;=2,"Muy Baja",IF(J43&lt;=24,"Baja",IF(J43&lt;=500,"Media",IF(J43&lt;=5000,"Alta","Muy Alta")))))</f>
        <v>Media</v>
      </c>
      <c r="L43" s="290">
        <f>IF(K43="","",IF(K43="Muy Baja",0.2,IF(K43="Baja",0.4,IF(K43="Media",0.6,IF(K43="Alta",0.8,IF(K43="Muy Alta",1,))))))</f>
        <v>0.6</v>
      </c>
      <c r="M43" s="305" t="s">
        <v>148</v>
      </c>
      <c r="N43" s="290" t="str">
        <f>IF(NOT(ISERROR(MATCH(M43,'[2]Tabla Impacto'!$B$221:$B$223,0))),'[2]Tabla Impacto'!$F$223&amp;"Por favor no seleccionar los criterios de impacto(Afectación Económica o presupuestal y Pérdida Reputacional)",M43)</f>
        <v xml:space="preserve">     El riesgo afecta la imagen de la entidad con algunos usuarios de relevancia frente al logro de los objetivos</v>
      </c>
      <c r="O43" s="287" t="str">
        <f>IF(OR(N43='[2]Tabla Impacto'!$C$11,N43='[2]Tabla Impacto'!$D$11),"Leve",IF(OR(N43='[2]Tabla Impacto'!$C$12,N43='[2]Tabla Impacto'!$D$12),"Menor",IF(OR(N43='[2]Tabla Impacto'!$C$13,N43='[2]Tabla Impacto'!$D$13),"Moderado",IF(OR(N43='[2]Tabla Impacto'!$C$14,N43='[2]Tabla Impacto'!$D$14),"Mayor",IF(OR(N43='[2]Tabla Impacto'!$C$15,N43='[2]Tabla Impacto'!$D$15),"Catastrófico","")))))</f>
        <v>Moderado</v>
      </c>
      <c r="P43" s="290">
        <f>IF(O43="","",IF(O43="Leve",0.2,IF(O43="Menor",0.4,IF(O43="Moderado",0.6,IF(O43="Mayor",0.8,IF(O43="Catastrófico",1,))))))</f>
        <v>0.6</v>
      </c>
      <c r="Q43" s="283" t="str">
        <f>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Moderado</v>
      </c>
      <c r="R43" s="163">
        <v>1</v>
      </c>
      <c r="S43" s="183" t="s">
        <v>359</v>
      </c>
      <c r="T43" s="164" t="str">
        <f>IF(OR(U43="Preventivo",U43="Detectivo"),"Probabilidad",IF(U43="Correctivo","Impacto",""))</f>
        <v>Probabilidad</v>
      </c>
      <c r="U43" s="165" t="s">
        <v>13</v>
      </c>
      <c r="V43" s="165" t="s">
        <v>8</v>
      </c>
      <c r="W43" s="166" t="str">
        <f>IF(AND(U43="Preventivo",V43="Automático"),"50%",IF(AND(U43="Preventivo",V43="Manual"),"40%",IF(AND(U43="Detectivo",V43="Automático"),"40%",IF(AND(U43="Detectivo",V43="Manual"),"30%",IF(AND(U43="Correctivo",V43="Automático"),"35%",IF(AND(U43="Correctivo",V43="Manual"),"25%",""))))))</f>
        <v>40%</v>
      </c>
      <c r="X43" s="165" t="s">
        <v>18</v>
      </c>
      <c r="Y43" s="165" t="s">
        <v>21</v>
      </c>
      <c r="Z43" s="165" t="s">
        <v>116</v>
      </c>
      <c r="AA43" s="167">
        <f>IFERROR(IF(T43="Probabilidad",(L43-(+L43*W43)),IF(T43="Impacto",L43,"")),"")</f>
        <v>0.36</v>
      </c>
      <c r="AB43" s="168" t="str">
        <f>IFERROR(IF(AA43="","",IF(AA43&lt;=0.2,"Muy Baja",IF(AA43&lt;=0.4,"Baja",IF(AA43&lt;=0.6,"Media",IF(AA43&lt;=0.8,"Alta","Muy Alta"))))),"")</f>
        <v>Baja</v>
      </c>
      <c r="AC43" s="169">
        <f>+AA43</f>
        <v>0.36</v>
      </c>
      <c r="AD43" s="168" t="str">
        <f>IFERROR(IF(AE43="","",IF(AE43&lt;=0.2,"Leve",IF(AE43&lt;=0.4,"Menor",IF(AE43&lt;=0.6,"Moderado",IF(AE43&lt;=0.8,"Mayor","Catastrófico"))))),"")</f>
        <v>Moderado</v>
      </c>
      <c r="AE43" s="169">
        <f>IFERROR(IF(T43="Impacto",(P43-(+P43*W43)),IF(T43="Probabilidad",P43,"")),"")</f>
        <v>0.6</v>
      </c>
      <c r="AF43" s="170" t="str">
        <f>IFERROR(IF(OR(AND(AB43="Muy Baja",AD43="Leve"),AND(AB43="Muy Baja",AD43="Menor"),AND(AB43="Baja",AD43="Leve")),"Bajo",IF(OR(AND(AB43="Muy baja",AD43="Moderado"),AND(AB43="Baja",AD43="Menor"),AND(AB43="Baja",AD43="Moderado"),AND(AB43="Media",AD43="Leve"),AND(AB43="Media",AD43="Menor"),AND(AB43="Media",AD43="Moderado"),AND(AB43="Alta",AD43="Leve"),AND(AB43="Alta",AD43="Menor")),"Moderado",IF(OR(AND(AB43="Muy Baja",AD43="Mayor"),AND(AB43="Baja",AD43="Mayor"),AND(AB43="Media",AD43="Mayor"),AND(AB43="Alta",AD43="Moderado"),AND(AB43="Alta",AD43="Mayor"),AND(AB43="Muy Alta",AD43="Leve"),AND(AB43="Muy Alta",AD43="Menor"),AND(AB43="Muy Alta",AD43="Moderado"),AND(AB43="Muy Alta",AD43="Mayor")),"Alto",IF(OR(AND(AB43="Muy Baja",AD43="Catastrófico"),AND(AB43="Baja",AD43="Catastrófico"),AND(AB43="Media",AD43="Catastrófico"),AND(AB43="Alta",AD43="Catastrófico"),AND(AB43="Muy Alta",AD43="Catastrófico")),"Extremo","")))),"")</f>
        <v>Moderado</v>
      </c>
      <c r="AG43" s="176" t="s">
        <v>131</v>
      </c>
      <c r="AH43" s="172" t="s">
        <v>360</v>
      </c>
      <c r="AI43" s="206" t="s">
        <v>306</v>
      </c>
      <c r="AJ43" s="206" t="s">
        <v>307</v>
      </c>
      <c r="AK43" s="206" t="s">
        <v>343</v>
      </c>
      <c r="AL43" s="206" t="s">
        <v>343</v>
      </c>
      <c r="AM43" s="206" t="s">
        <v>343</v>
      </c>
      <c r="AN43" s="206" t="s">
        <v>343</v>
      </c>
      <c r="AO43" s="206" t="s">
        <v>343</v>
      </c>
      <c r="AP43" s="206" t="s">
        <v>343</v>
      </c>
      <c r="AQ43" s="207" t="s">
        <v>39</v>
      </c>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row>
    <row r="44" spans="1:75" ht="35.1" customHeight="1" x14ac:dyDescent="0.3">
      <c r="A44" s="313"/>
      <c r="B44" s="293"/>
      <c r="C44" s="293"/>
      <c r="D44" s="293"/>
      <c r="E44" s="293"/>
      <c r="F44" s="152"/>
      <c r="G44" s="282"/>
      <c r="H44" s="153" t="s">
        <v>361</v>
      </c>
      <c r="I44" s="293"/>
      <c r="J44" s="295"/>
      <c r="K44" s="288"/>
      <c r="L44" s="291"/>
      <c r="M44" s="303"/>
      <c r="N44" s="291">
        <f>IF(NOT(ISERROR(MATCH(M44,_xlfn.ANCHORARRAY(H55),0))),L57&amp;"Por favor no seleccionar los criterios de impacto",M44)</f>
        <v>0</v>
      </c>
      <c r="O44" s="288"/>
      <c r="P44" s="291"/>
      <c r="Q44" s="284"/>
      <c r="R44" s="163">
        <v>2</v>
      </c>
      <c r="S44" s="183" t="s">
        <v>362</v>
      </c>
      <c r="T44" s="164" t="str">
        <f>IF(OR(U44="Preventivo",U44="Detectivo"),"Probabilidad",IF(U44="Correctivo","Impacto",""))</f>
        <v>Probabilidad</v>
      </c>
      <c r="U44" s="165" t="s">
        <v>14</v>
      </c>
      <c r="V44" s="165" t="s">
        <v>8</v>
      </c>
      <c r="W44" s="166" t="str">
        <f t="shared" ref="W44:W48" si="29">IF(AND(U44="Preventivo",V44="Automático"),"50%",IF(AND(U44="Preventivo",V44="Manual"),"40%",IF(AND(U44="Detectivo",V44="Automático"),"40%",IF(AND(U44="Detectivo",V44="Manual"),"30%",IF(AND(U44="Correctivo",V44="Automático"),"35%",IF(AND(U44="Correctivo",V44="Manual"),"25%",""))))))</f>
        <v>30%</v>
      </c>
      <c r="X44" s="165" t="s">
        <v>18</v>
      </c>
      <c r="Y44" s="165" t="s">
        <v>21</v>
      </c>
      <c r="Z44" s="165" t="s">
        <v>116</v>
      </c>
      <c r="AA44" s="167">
        <f>IFERROR(IF(AND(T43="Probabilidad",T44="Probabilidad"),(AC43-(+AC43*W44)),IF(T44="Probabilidad",(L43-(+L43*W44)),IF(T44="Impacto",AC43,""))),"")</f>
        <v>0.252</v>
      </c>
      <c r="AB44" s="168" t="str">
        <f t="shared" ref="AB44:AB102" si="30">IFERROR(IF(AA44="","",IF(AA44&lt;=0.2,"Muy Baja",IF(AA44&lt;=0.4,"Baja",IF(AA44&lt;=0.6,"Media",IF(AA44&lt;=0.8,"Alta","Muy Alta"))))),"")</f>
        <v>Baja</v>
      </c>
      <c r="AC44" s="169">
        <f t="shared" ref="AC44:AC48" si="31">+AA44</f>
        <v>0.252</v>
      </c>
      <c r="AD44" s="168" t="str">
        <f t="shared" ref="AD44:AD102" si="32">IFERROR(IF(AE44="","",IF(AE44&lt;=0.2,"Leve",IF(AE44&lt;=0.4,"Menor",IF(AE44&lt;=0.6,"Moderado",IF(AE44&lt;=0.8,"Mayor","Catastrófico"))))),"")</f>
        <v>Moderado</v>
      </c>
      <c r="AE44" s="169">
        <f>IFERROR(IF(AND(T43="Impacto",T44="Impacto"),(AE43-(+AE43*W44)),IF(T44="Impacto",(P43-(+P43*W44)),IF(T44="Probabilidad",AE43,""))),"")</f>
        <v>0.6</v>
      </c>
      <c r="AF44" s="170" t="str">
        <f t="shared" ref="AF44:AF48" si="33">IFERROR(IF(OR(AND(AB44="Muy Baja",AD44="Leve"),AND(AB44="Muy Baja",AD44="Menor"),AND(AB44="Baja",AD44="Leve")),"Bajo",IF(OR(AND(AB44="Muy baja",AD44="Moderado"),AND(AB44="Baja",AD44="Menor"),AND(AB44="Baja",AD44="Moderado"),AND(AB44="Media",AD44="Leve"),AND(AB44="Media",AD44="Menor"),AND(AB44="Media",AD44="Moderado"),AND(AB44="Alta",AD44="Leve"),AND(AB44="Alta",AD44="Menor")),"Moderado",IF(OR(AND(AB44="Muy Baja",AD44="Mayor"),AND(AB44="Baja",AD44="Mayor"),AND(AB44="Media",AD44="Mayor"),AND(AB44="Alta",AD44="Moderado"),AND(AB44="Alta",AD44="Mayor"),AND(AB44="Muy Alta",AD44="Leve"),AND(AB44="Muy Alta",AD44="Menor"),AND(AB44="Muy Alta",AD44="Moderado"),AND(AB44="Muy Alta",AD44="Mayor")),"Alto",IF(OR(AND(AB44="Muy Baja",AD44="Catastrófico"),AND(AB44="Baja",AD44="Catastrófico"),AND(AB44="Media",AD44="Catastrófico"),AND(AB44="Alta",AD44="Catastrófico"),AND(AB44="Muy Alta",AD44="Catastrófico")),"Extremo","")))),"")</f>
        <v>Moderado</v>
      </c>
      <c r="AG44" s="171" t="s">
        <v>131</v>
      </c>
      <c r="AH44" s="206" t="s">
        <v>363</v>
      </c>
      <c r="AI44" s="206" t="s">
        <v>306</v>
      </c>
      <c r="AJ44" s="206" t="s">
        <v>307</v>
      </c>
      <c r="AK44" s="206" t="s">
        <v>343</v>
      </c>
      <c r="AL44" s="206" t="s">
        <v>343</v>
      </c>
      <c r="AM44" s="206" t="s">
        <v>343</v>
      </c>
      <c r="AN44" s="206" t="s">
        <v>343</v>
      </c>
      <c r="AO44" s="206" t="s">
        <v>343</v>
      </c>
      <c r="AP44" s="206" t="s">
        <v>343</v>
      </c>
      <c r="AQ44" s="207" t="s">
        <v>39</v>
      </c>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row>
    <row r="45" spans="1:75" ht="35.1" customHeight="1" x14ac:dyDescent="0.3">
      <c r="A45" s="313"/>
      <c r="B45" s="293"/>
      <c r="C45" s="293"/>
      <c r="D45" s="293"/>
      <c r="E45" s="293"/>
      <c r="F45" s="152"/>
      <c r="G45" s="282"/>
      <c r="H45" s="153"/>
      <c r="I45" s="293"/>
      <c r="J45" s="295"/>
      <c r="K45" s="288"/>
      <c r="L45" s="291"/>
      <c r="M45" s="303"/>
      <c r="N45" s="291">
        <f>IF(NOT(ISERROR(MATCH(M45,_xlfn.ANCHORARRAY(H56),0))),L58&amp;"Por favor no seleccionar los criterios de impacto",M45)</f>
        <v>0</v>
      </c>
      <c r="O45" s="288"/>
      <c r="P45" s="291"/>
      <c r="Q45" s="284"/>
      <c r="R45" s="163">
        <v>3</v>
      </c>
      <c r="S45" s="174" t="s">
        <v>364</v>
      </c>
      <c r="T45" s="164" t="str">
        <f>IF(OR(U45="Preventivo",U45="Detectivo"),"Probabilidad",IF(U45="Correctivo","Impacto",""))</f>
        <v>Probabilidad</v>
      </c>
      <c r="U45" s="165" t="s">
        <v>14</v>
      </c>
      <c r="V45" s="165" t="s">
        <v>8</v>
      </c>
      <c r="W45" s="166" t="str">
        <f t="shared" si="29"/>
        <v>30%</v>
      </c>
      <c r="X45" s="165" t="s">
        <v>18</v>
      </c>
      <c r="Y45" s="165" t="s">
        <v>21</v>
      </c>
      <c r="Z45" s="165" t="s">
        <v>116</v>
      </c>
      <c r="AA45" s="167">
        <f>IFERROR(IF(AND(T44="Probabilidad",T45="Probabilidad"),(AC44-(+AC44*W45)),IF(AND(T44="Impacto",T45="Probabilidad"),(AC43-(+AC43*W45)),IF(T45="Impacto",AC44,""))),"")</f>
        <v>0.1764</v>
      </c>
      <c r="AB45" s="168" t="str">
        <f t="shared" si="30"/>
        <v>Muy Baja</v>
      </c>
      <c r="AC45" s="169">
        <f t="shared" si="31"/>
        <v>0.1764</v>
      </c>
      <c r="AD45" s="179" t="str">
        <f t="shared" si="32"/>
        <v>Moderado</v>
      </c>
      <c r="AE45" s="169">
        <f>IFERROR(IF(AND(T44="Impacto",T45="Impacto"),(AE44-(+AE44*W45)),IF(AND(T44="Probabilidad",T45="Impacto"),(AE43-(+AE43*W45)),IF(T45="Probabilidad",AE44,""))),"")</f>
        <v>0.6</v>
      </c>
      <c r="AF45" s="180" t="str">
        <f t="shared" si="33"/>
        <v>Moderado</v>
      </c>
      <c r="AG45" s="171" t="s">
        <v>131</v>
      </c>
      <c r="AH45" s="206" t="s">
        <v>365</v>
      </c>
      <c r="AI45" s="206" t="s">
        <v>306</v>
      </c>
      <c r="AJ45" s="206" t="s">
        <v>307</v>
      </c>
      <c r="AK45" s="206" t="s">
        <v>343</v>
      </c>
      <c r="AL45" s="206" t="s">
        <v>343</v>
      </c>
      <c r="AM45" s="206" t="s">
        <v>343</v>
      </c>
      <c r="AN45" s="206" t="s">
        <v>343</v>
      </c>
      <c r="AO45" s="206" t="s">
        <v>343</v>
      </c>
      <c r="AP45" s="206" t="s">
        <v>343</v>
      </c>
      <c r="AQ45" s="207"/>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row>
    <row r="46" spans="1:75" ht="35.1" customHeight="1" x14ac:dyDescent="0.3">
      <c r="A46" s="313"/>
      <c r="B46" s="293"/>
      <c r="C46" s="293"/>
      <c r="D46" s="293"/>
      <c r="E46" s="293"/>
      <c r="F46" s="152"/>
      <c r="G46" s="282"/>
      <c r="H46" s="153"/>
      <c r="I46" s="293"/>
      <c r="J46" s="295"/>
      <c r="K46" s="288"/>
      <c r="L46" s="291"/>
      <c r="M46" s="303"/>
      <c r="N46" s="291">
        <f>IF(NOT(ISERROR(MATCH(M46,_xlfn.ANCHORARRAY(H57),0))),L59&amp;"Por favor no seleccionar los criterios de impacto",M46)</f>
        <v>0</v>
      </c>
      <c r="O46" s="288"/>
      <c r="P46" s="291"/>
      <c r="Q46" s="284"/>
      <c r="R46" s="163">
        <v>4</v>
      </c>
      <c r="S46" s="208"/>
      <c r="T46" s="164" t="str">
        <f t="shared" ref="T46:T48" si="34">IF(OR(U46="Preventivo",U46="Detectivo"),"Probabilidad",IF(U46="Correctivo","Impacto",""))</f>
        <v/>
      </c>
      <c r="U46" s="178"/>
      <c r="V46" s="178"/>
      <c r="W46" s="166" t="str">
        <f t="shared" si="29"/>
        <v/>
      </c>
      <c r="X46" s="178"/>
      <c r="Y46" s="178"/>
      <c r="Z46" s="178"/>
      <c r="AA46" s="167" t="str">
        <f>IFERROR(IF(AND(T45="Probabilidad",T46="Probabilidad"),(AC45-(+AC45*W46)),IF(AND(T45="Impacto",T46="Probabilidad"),(AC44-(+AC44*W46)),IF(T46="Impacto",AC45,""))),"")</f>
        <v/>
      </c>
      <c r="AB46" s="179" t="str">
        <f t="shared" si="30"/>
        <v/>
      </c>
      <c r="AC46" s="169" t="str">
        <f t="shared" si="31"/>
        <v/>
      </c>
      <c r="AD46" s="179" t="str">
        <f t="shared" si="32"/>
        <v/>
      </c>
      <c r="AE46" s="169" t="str">
        <f>IFERROR(IF(AND(T45="Impacto",T46="Impacto"),(AE45-(+AE45*W46)),IF(AND(T45="Probabilidad",T46="Impacto"),(AE44-(+AE44*W46)),IF(T46="Probabilidad",AE45,""))),"")</f>
        <v/>
      </c>
      <c r="AF46" s="180" t="str">
        <f>IFERROR(IF(OR(AND(AB46="Muy Baja",AD46="Leve"),AND(AB46="Muy Baja",AD46="Menor"),AND(AB46="Baja",AD46="Leve")),"Bajo",IF(OR(AND(AB46="Muy baja",AD46="Moderado"),AND(AB46="Baja",AD46="Menor"),AND(AB46="Baja",AD46="Moderado"),AND(AB46="Media",AD46="Leve"),AND(AB46="Media",AD46="Menor"),AND(AB46="Media",AD46="Moderado"),AND(AB46="Alta",AD46="Leve"),AND(AB46="Alta",AD46="Menor")),"Moderado",IF(OR(AND(AB46="Muy Baja",AD46="Mayor"),AND(AB46="Baja",AD46="Mayor"),AND(AB46="Media",AD46="Mayor"),AND(AB46="Alta",AD46="Moderado"),AND(AB46="Alta",AD46="Mayor"),AND(AB46="Muy Alta",AD46="Leve"),AND(AB46="Muy Alta",AD46="Menor"),AND(AB46="Muy Alta",AD46="Moderado"),AND(AB46="Muy Alta",AD46="Mayor")),"Alto",IF(OR(AND(AB46="Muy Baja",AD46="Catastrófico"),AND(AB46="Baja",AD46="Catastrófico"),AND(AB46="Media",AD46="Catastrófico"),AND(AB46="Alta",AD46="Catastrófico"),AND(AB46="Muy Alta",AD46="Catastrófico")),"Extremo","")))),"")</f>
        <v/>
      </c>
      <c r="AG46" s="181"/>
      <c r="AH46" s="206"/>
      <c r="AI46" s="206"/>
      <c r="AJ46" s="206"/>
      <c r="AK46" s="206"/>
      <c r="AL46" s="206"/>
      <c r="AM46" s="207"/>
      <c r="AN46" s="209"/>
      <c r="AO46" s="209"/>
      <c r="AP46" s="206"/>
      <c r="AQ46" s="207"/>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row>
    <row r="47" spans="1:75" ht="35.1" customHeight="1" x14ac:dyDescent="0.3">
      <c r="A47" s="313"/>
      <c r="B47" s="293"/>
      <c r="C47" s="293"/>
      <c r="D47" s="293"/>
      <c r="E47" s="293"/>
      <c r="F47" s="152"/>
      <c r="G47" s="282"/>
      <c r="H47" s="153"/>
      <c r="I47" s="293"/>
      <c r="J47" s="295"/>
      <c r="K47" s="288"/>
      <c r="L47" s="291"/>
      <c r="M47" s="303"/>
      <c r="N47" s="291">
        <f>IF(NOT(ISERROR(MATCH(M47,_xlfn.ANCHORARRAY(H58),0))),L60&amp;"Por favor no seleccionar los criterios de impacto",M47)</f>
        <v>0</v>
      </c>
      <c r="O47" s="288"/>
      <c r="P47" s="291"/>
      <c r="Q47" s="284"/>
      <c r="R47" s="163">
        <v>5</v>
      </c>
      <c r="S47" s="208"/>
      <c r="T47" s="164" t="str">
        <f t="shared" si="34"/>
        <v/>
      </c>
      <c r="U47" s="178"/>
      <c r="V47" s="178"/>
      <c r="W47" s="166" t="str">
        <f t="shared" si="29"/>
        <v/>
      </c>
      <c r="X47" s="178"/>
      <c r="Y47" s="178"/>
      <c r="Z47" s="178"/>
      <c r="AA47" s="167" t="str">
        <f>IFERROR(IF(AND(T46="Probabilidad",T47="Probabilidad"),(AC46-(+AC46*W47)),IF(AND(T46="Impacto",T47="Probabilidad"),(AC45-(+AC45*W47)),IF(T47="Impacto",AC46,""))),"")</f>
        <v/>
      </c>
      <c r="AB47" s="179" t="str">
        <f t="shared" si="30"/>
        <v/>
      </c>
      <c r="AC47" s="169" t="str">
        <f t="shared" si="31"/>
        <v/>
      </c>
      <c r="AD47" s="179" t="str">
        <f t="shared" si="32"/>
        <v/>
      </c>
      <c r="AE47" s="169" t="str">
        <f>IFERROR(IF(AND(T46="Impacto",T47="Impacto"),(AE46-(+AE46*W47)),IF(AND(T46="Probabilidad",T47="Impacto"),(AE45-(+AE45*W47)),IF(T47="Probabilidad",AE46,""))),"")</f>
        <v/>
      </c>
      <c r="AF47" s="180" t="str">
        <f t="shared" si="33"/>
        <v/>
      </c>
      <c r="AG47" s="181"/>
      <c r="AH47" s="206"/>
      <c r="AI47" s="206"/>
      <c r="AJ47" s="206"/>
      <c r="AK47" s="206"/>
      <c r="AL47" s="206"/>
      <c r="AM47" s="207"/>
      <c r="AN47" s="209"/>
      <c r="AO47" s="209"/>
      <c r="AP47" s="206"/>
      <c r="AQ47" s="207"/>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row>
    <row r="48" spans="1:75" ht="35.1" customHeight="1" x14ac:dyDescent="0.3">
      <c r="A48" s="314"/>
      <c r="B48" s="294"/>
      <c r="C48" s="294"/>
      <c r="D48" s="294"/>
      <c r="E48" s="294"/>
      <c r="F48" s="162"/>
      <c r="G48" s="298"/>
      <c r="H48" s="175"/>
      <c r="I48" s="294"/>
      <c r="J48" s="296"/>
      <c r="K48" s="289"/>
      <c r="L48" s="292"/>
      <c r="M48" s="304"/>
      <c r="N48" s="292">
        <f>IF(NOT(ISERROR(MATCH(M48,_xlfn.ANCHORARRAY(H59),0))),L61&amp;"Por favor no seleccionar los criterios de impacto",M48)</f>
        <v>0</v>
      </c>
      <c r="O48" s="289"/>
      <c r="P48" s="292"/>
      <c r="Q48" s="285"/>
      <c r="R48" s="163">
        <v>6</v>
      </c>
      <c r="S48" s="208"/>
      <c r="T48" s="164" t="str">
        <f t="shared" si="34"/>
        <v/>
      </c>
      <c r="U48" s="178"/>
      <c r="V48" s="178"/>
      <c r="W48" s="166" t="str">
        <f t="shared" si="29"/>
        <v/>
      </c>
      <c r="X48" s="178"/>
      <c r="Y48" s="178"/>
      <c r="Z48" s="178"/>
      <c r="AA48" s="167" t="str">
        <f>IFERROR(IF(AND(T47="Probabilidad",T48="Probabilidad"),(AC47-(+AC47*W48)),IF(AND(T47="Impacto",T48="Probabilidad"),(AC46-(+AC46*W48)),IF(T48="Impacto",AC47,""))),"")</f>
        <v/>
      </c>
      <c r="AB48" s="179" t="str">
        <f t="shared" si="30"/>
        <v/>
      </c>
      <c r="AC48" s="169" t="str">
        <f t="shared" si="31"/>
        <v/>
      </c>
      <c r="AD48" s="179" t="str">
        <f t="shared" si="32"/>
        <v/>
      </c>
      <c r="AE48" s="169" t="str">
        <f>IFERROR(IF(AND(T47="Impacto",T48="Impacto"),(AE47-(+AE47*W48)),IF(AND(T47="Probabilidad",T48="Impacto"),(AE46-(+AE46*W48)),IF(T48="Probabilidad",AE47,""))),"")</f>
        <v/>
      </c>
      <c r="AF48" s="180" t="str">
        <f t="shared" si="33"/>
        <v/>
      </c>
      <c r="AG48" s="181"/>
      <c r="AH48" s="206"/>
      <c r="AI48" s="206"/>
      <c r="AJ48" s="206"/>
      <c r="AK48" s="206"/>
      <c r="AL48" s="206"/>
      <c r="AM48" s="207"/>
      <c r="AN48" s="209"/>
      <c r="AO48" s="209"/>
      <c r="AP48" s="206"/>
      <c r="AQ48" s="207"/>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row>
    <row r="49" spans="1:75" ht="35.1" customHeight="1" x14ac:dyDescent="0.3">
      <c r="A49" s="312">
        <v>2</v>
      </c>
      <c r="B49" s="311" t="s">
        <v>127</v>
      </c>
      <c r="C49" s="311" t="s">
        <v>241</v>
      </c>
      <c r="D49" s="320" t="s">
        <v>249</v>
      </c>
      <c r="E49" s="320" t="s">
        <v>266</v>
      </c>
      <c r="F49" s="185" t="s">
        <v>366</v>
      </c>
      <c r="G49" s="320" t="s">
        <v>367</v>
      </c>
      <c r="H49" s="187" t="s">
        <v>368</v>
      </c>
      <c r="I49" s="311" t="s">
        <v>120</v>
      </c>
      <c r="J49" s="308">
        <v>5</v>
      </c>
      <c r="K49" s="287" t="str">
        <f>IF(J49&lt;=0,"",IF(J49&lt;=2,"Muy Baja",IF(J49&lt;=24,"Baja",IF(J49&lt;=500,"Media",IF(J49&lt;=5000,"Alta","Muy Alta")))))</f>
        <v>Baja</v>
      </c>
      <c r="L49" s="290">
        <f>IF(K49="","",IF(K49="Muy Baja",0.2,IF(K49="Baja",0.4,IF(K49="Media",0.6,IF(K49="Alta",0.8,IF(K49="Muy Alta",1,))))))</f>
        <v>0.4</v>
      </c>
      <c r="M49" s="305" t="s">
        <v>149</v>
      </c>
      <c r="N49" s="290" t="str">
        <f>IF(NOT(ISERROR(MATCH(M49,'[2]Tabla Impacto'!$B$221:$B$223,0))),'[2]Tabla Impacto'!$F$223&amp;"Por favor no seleccionar los criterios de impacto(Afectación Económica o presupuestal y Pérdida Reputacional)",M49)</f>
        <v xml:space="preserve">     El riesgo afecta la imagen de de la entidad con efecto publicitario sostenido a nivel de sector administrativo, nivel departamental o municipal</v>
      </c>
      <c r="O49" s="287" t="str">
        <f>IF(OR(N49='[2]Tabla Impacto'!$C$11,N49='[2]Tabla Impacto'!$D$11),"Leve",IF(OR(N49='[2]Tabla Impacto'!$C$12,N49='[2]Tabla Impacto'!$D$12),"Menor",IF(OR(N49='[2]Tabla Impacto'!$C$13,N49='[2]Tabla Impacto'!$D$13),"Moderado",IF(OR(N49='[2]Tabla Impacto'!$C$14,N49='[2]Tabla Impacto'!$D$14),"Mayor",IF(OR(N49='[2]Tabla Impacto'!$C$15,N49='[2]Tabla Impacto'!$D$15),"Catastrófico","")))))</f>
        <v>Mayor</v>
      </c>
      <c r="P49" s="290">
        <f>IF(O49="","",IF(O49="Leve",0.2,IF(O49="Menor",0.4,IF(O49="Moderado",0.6,IF(O49="Mayor",0.8,IF(O49="Catastrófico",1,))))))</f>
        <v>0.8</v>
      </c>
      <c r="Q49" s="283" t="str">
        <f>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Alto</v>
      </c>
      <c r="R49" s="163">
        <v>1</v>
      </c>
      <c r="S49" s="197" t="s">
        <v>369</v>
      </c>
      <c r="T49" s="164" t="str">
        <f>IF(OR(U49="Preventivo",U49="Detectivo"),"Probabilidad",IF(U49="Correctivo","Impacto",""))</f>
        <v>Probabilidad</v>
      </c>
      <c r="U49" s="165" t="s">
        <v>14</v>
      </c>
      <c r="V49" s="165" t="s">
        <v>8</v>
      </c>
      <c r="W49" s="166" t="str">
        <f>IF(AND(U49="Preventivo",V49="Automático"),"50%",IF(AND(U49="Preventivo",V49="Manual"),"40%",IF(AND(U49="Detectivo",V49="Automático"),"40%",IF(AND(U49="Detectivo",V49="Manual"),"30%",IF(AND(U49="Correctivo",V49="Automático"),"35%",IF(AND(U49="Correctivo",V49="Manual"),"25%",""))))))</f>
        <v>30%</v>
      </c>
      <c r="X49" s="165" t="s">
        <v>18</v>
      </c>
      <c r="Y49" s="165" t="s">
        <v>21</v>
      </c>
      <c r="Z49" s="165" t="s">
        <v>116</v>
      </c>
      <c r="AA49" s="167">
        <f>IFERROR(IF(T49="Probabilidad",(L49-(+L49*W49)),IF(T49="Impacto",L49,"")),"")</f>
        <v>0.28000000000000003</v>
      </c>
      <c r="AB49" s="168" t="str">
        <f>IFERROR(IF(AA49="","",IF(AA49&lt;=0.2,"Muy Baja",IF(AA49&lt;=0.4,"Baja",IF(AA49&lt;=0.6,"Media",IF(AA49&lt;=0.8,"Alta","Muy Alta"))))),"")</f>
        <v>Baja</v>
      </c>
      <c r="AC49" s="169">
        <f>+AA49</f>
        <v>0.28000000000000003</v>
      </c>
      <c r="AD49" s="179" t="str">
        <f>IFERROR(IF(AE49="","",IF(AE49&lt;=0.2,"Leve",IF(AE49&lt;=0.4,"Menor",IF(AE49&lt;=0.6,"Moderado",IF(AE49&lt;=0.8,"Mayor","Catastrófico"))))),"")</f>
        <v>Mayor</v>
      </c>
      <c r="AE49" s="169">
        <f>IFERROR(IF(T49="Impacto",(P49-(+P49*W49)),IF(T49="Probabilidad",P49,"")),"")</f>
        <v>0.8</v>
      </c>
      <c r="AF49" s="180" t="str">
        <f>IFERROR(IF(OR(AND(AB49="Muy Baja",AD49="Leve"),AND(AB49="Muy Baja",AD49="Menor"),AND(AB49="Baja",AD49="Leve")),"Bajo",IF(OR(AND(AB49="Muy baja",AD49="Moderado"),AND(AB49="Baja",AD49="Menor"),AND(AB49="Baja",AD49="Moderado"),AND(AB49="Media",AD49="Leve"),AND(AB49="Media",AD49="Menor"),AND(AB49="Media",AD49="Moderado"),AND(AB49="Alta",AD49="Leve"),AND(AB49="Alta",AD49="Menor")),"Moderado",IF(OR(AND(AB49="Muy Baja",AD49="Mayor"),AND(AB49="Baja",AD49="Mayor"),AND(AB49="Media",AD49="Mayor"),AND(AB49="Alta",AD49="Moderado"),AND(AB49="Alta",AD49="Mayor"),AND(AB49="Muy Alta",AD49="Leve"),AND(AB49="Muy Alta",AD49="Menor"),AND(AB49="Muy Alta",AD49="Moderado"),AND(AB49="Muy Alta",AD49="Mayor")),"Alto",IF(OR(AND(AB49="Muy Baja",AD49="Catastrófico"),AND(AB49="Baja",AD49="Catastrófico"),AND(AB49="Media",AD49="Catastrófico"),AND(AB49="Alta",AD49="Catastrófico"),AND(AB49="Muy Alta",AD49="Catastrófico")),"Extremo","")))),"")</f>
        <v>Alto</v>
      </c>
      <c r="AG49" s="171" t="s">
        <v>131</v>
      </c>
      <c r="AH49" s="206" t="s">
        <v>370</v>
      </c>
      <c r="AI49" s="206" t="s">
        <v>306</v>
      </c>
      <c r="AJ49" s="206" t="s">
        <v>307</v>
      </c>
      <c r="AK49" s="206" t="s">
        <v>343</v>
      </c>
      <c r="AL49" s="206" t="s">
        <v>343</v>
      </c>
      <c r="AM49" s="206" t="s">
        <v>343</v>
      </c>
      <c r="AN49" s="206" t="s">
        <v>343</v>
      </c>
      <c r="AO49" s="206" t="s">
        <v>343</v>
      </c>
      <c r="AP49" s="206" t="s">
        <v>343</v>
      </c>
      <c r="AQ49" s="207" t="s">
        <v>39</v>
      </c>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row>
    <row r="50" spans="1:75" ht="35.1" customHeight="1" x14ac:dyDescent="0.3">
      <c r="A50" s="313"/>
      <c r="B50" s="293"/>
      <c r="C50" s="293"/>
      <c r="D50" s="293"/>
      <c r="E50" s="293"/>
      <c r="F50" s="184" t="s">
        <v>371</v>
      </c>
      <c r="G50" s="293"/>
      <c r="H50" s="196" t="s">
        <v>372</v>
      </c>
      <c r="I50" s="293"/>
      <c r="J50" s="295"/>
      <c r="K50" s="288"/>
      <c r="L50" s="291"/>
      <c r="M50" s="303"/>
      <c r="N50" s="291">
        <f>IF(NOT(ISERROR(MATCH(M50,_xlfn.ANCHORARRAY(H61),0))),L63&amp;"Por favor no seleccionar los criterios de impacto",M50)</f>
        <v>0</v>
      </c>
      <c r="O50" s="288"/>
      <c r="P50" s="291"/>
      <c r="Q50" s="284"/>
      <c r="R50" s="163">
        <v>2</v>
      </c>
      <c r="S50" s="183" t="s">
        <v>373</v>
      </c>
      <c r="T50" s="164" t="str">
        <f>IF(OR(U50="Preventivo",U50="Detectivo"),"Probabilidad",IF(U50="Correctivo","Impacto",""))</f>
        <v>Probabilidad</v>
      </c>
      <c r="U50" s="165" t="s">
        <v>14</v>
      </c>
      <c r="V50" s="165" t="s">
        <v>8</v>
      </c>
      <c r="W50" s="166" t="str">
        <f t="shared" ref="W50:W54" si="35">IF(AND(U50="Preventivo",V50="Automático"),"50%",IF(AND(U50="Preventivo",V50="Manual"),"40%",IF(AND(U50="Detectivo",V50="Automático"),"40%",IF(AND(U50="Detectivo",V50="Manual"),"30%",IF(AND(U50="Correctivo",V50="Automático"),"35%",IF(AND(U50="Correctivo",V50="Manual"),"25%",""))))))</f>
        <v>30%</v>
      </c>
      <c r="X50" s="165" t="s">
        <v>18</v>
      </c>
      <c r="Y50" s="165" t="s">
        <v>21</v>
      </c>
      <c r="Z50" s="165" t="s">
        <v>116</v>
      </c>
      <c r="AA50" s="167">
        <f>IFERROR(IF(AND(T49="Probabilidad",T50="Probabilidad"),(AC49-(+AC49*W50)),IF(T50="Probabilidad",(L49-(+L49*W50)),IF(T50="Impacto",AC49,""))),"")</f>
        <v>0.19600000000000001</v>
      </c>
      <c r="AB50" s="168" t="str">
        <f t="shared" si="30"/>
        <v>Muy Baja</v>
      </c>
      <c r="AC50" s="169">
        <f t="shared" ref="AC50:AC54" si="36">+AA50</f>
        <v>0.19600000000000001</v>
      </c>
      <c r="AD50" s="179" t="str">
        <f t="shared" si="32"/>
        <v>Mayor</v>
      </c>
      <c r="AE50" s="169">
        <f>IFERROR(IF(AND(T49="Impacto",T50="Impacto"),(AE49-(+AE49*W50)),IF(T50="Impacto",(P49-(+P49*W50)),IF(T50="Probabilidad",AE49,""))),"")</f>
        <v>0.8</v>
      </c>
      <c r="AF50" s="180" t="str">
        <f t="shared" ref="AF50:AF51" si="37">IFERROR(IF(OR(AND(AB50="Muy Baja",AD50="Leve"),AND(AB50="Muy Baja",AD50="Menor"),AND(AB50="Baja",AD50="Leve")),"Bajo",IF(OR(AND(AB50="Muy baja",AD50="Moderado"),AND(AB50="Baja",AD50="Menor"),AND(AB50="Baja",AD50="Moderado"),AND(AB50="Media",AD50="Leve"),AND(AB50="Media",AD50="Menor"),AND(AB50="Media",AD50="Moderado"),AND(AB50="Alta",AD50="Leve"),AND(AB50="Alta",AD50="Menor")),"Moderado",IF(OR(AND(AB50="Muy Baja",AD50="Mayor"),AND(AB50="Baja",AD50="Mayor"),AND(AB50="Media",AD50="Mayor"),AND(AB50="Alta",AD50="Moderado"),AND(AB50="Alta",AD50="Mayor"),AND(AB50="Muy Alta",AD50="Leve"),AND(AB50="Muy Alta",AD50="Menor"),AND(AB50="Muy Alta",AD50="Moderado"),AND(AB50="Muy Alta",AD50="Mayor")),"Alto",IF(OR(AND(AB50="Muy Baja",AD50="Catastrófico"),AND(AB50="Baja",AD50="Catastrófico"),AND(AB50="Media",AD50="Catastrófico"),AND(AB50="Alta",AD50="Catastrófico"),AND(AB50="Muy Alta",AD50="Catastrófico")),"Extremo","")))),"")</f>
        <v>Alto</v>
      </c>
      <c r="AG50" s="171" t="s">
        <v>131</v>
      </c>
      <c r="AH50" s="206" t="s">
        <v>374</v>
      </c>
      <c r="AI50" s="206" t="s">
        <v>306</v>
      </c>
      <c r="AJ50" s="206" t="s">
        <v>307</v>
      </c>
      <c r="AK50" s="206" t="s">
        <v>343</v>
      </c>
      <c r="AL50" s="206" t="s">
        <v>343</v>
      </c>
      <c r="AM50" s="206" t="s">
        <v>343</v>
      </c>
      <c r="AN50" s="206" t="s">
        <v>343</v>
      </c>
      <c r="AO50" s="206" t="s">
        <v>343</v>
      </c>
      <c r="AP50" s="206" t="s">
        <v>343</v>
      </c>
      <c r="AQ50" s="207" t="s">
        <v>39</v>
      </c>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row>
    <row r="51" spans="1:75" ht="35.1" customHeight="1" x14ac:dyDescent="0.3">
      <c r="A51" s="313"/>
      <c r="B51" s="293"/>
      <c r="C51" s="293"/>
      <c r="D51" s="293"/>
      <c r="E51" s="293"/>
      <c r="F51" s="152"/>
      <c r="G51" s="293"/>
      <c r="H51" s="153"/>
      <c r="I51" s="293"/>
      <c r="J51" s="295"/>
      <c r="K51" s="288"/>
      <c r="L51" s="291"/>
      <c r="M51" s="303"/>
      <c r="N51" s="291">
        <f>IF(NOT(ISERROR(MATCH(M51,_xlfn.ANCHORARRAY(H62),0))),L64&amp;"Por favor no seleccionar los criterios de impacto",M51)</f>
        <v>0</v>
      </c>
      <c r="O51" s="288"/>
      <c r="P51" s="291"/>
      <c r="Q51" s="284"/>
      <c r="R51" s="163">
        <v>3</v>
      </c>
      <c r="S51" s="210" t="s">
        <v>375</v>
      </c>
      <c r="T51" s="164" t="str">
        <f>IF(OR(U51="Preventivo",U51="Detectivo"),"Probabilidad",IF(U51="Correctivo","Impacto",""))</f>
        <v>Probabilidad</v>
      </c>
      <c r="U51" s="165" t="s">
        <v>14</v>
      </c>
      <c r="V51" s="165" t="s">
        <v>8</v>
      </c>
      <c r="W51" s="166" t="str">
        <f t="shared" si="35"/>
        <v>30%</v>
      </c>
      <c r="X51" s="165" t="s">
        <v>18</v>
      </c>
      <c r="Y51" s="165" t="s">
        <v>21</v>
      </c>
      <c r="Z51" s="165" t="s">
        <v>116</v>
      </c>
      <c r="AA51" s="167">
        <f>IFERROR(IF(AND(T50="Probabilidad",T51="Probabilidad"),(AC50-(+AC50*W51)),IF(AND(T50="Impacto",T51="Probabilidad"),(AC49-(+AC49*W51)),IF(T51="Impacto",AC50,""))),"")</f>
        <v>0.13720000000000002</v>
      </c>
      <c r="AB51" s="168" t="str">
        <f t="shared" si="30"/>
        <v>Muy Baja</v>
      </c>
      <c r="AC51" s="169">
        <f t="shared" si="36"/>
        <v>0.13720000000000002</v>
      </c>
      <c r="AD51" s="179" t="str">
        <f t="shared" si="32"/>
        <v>Mayor</v>
      </c>
      <c r="AE51" s="169">
        <f>IFERROR(IF(AND(T50="Impacto",T51="Impacto"),(AE50-(+AE50*W51)),IF(AND(T50="Probabilidad",T51="Impacto"),(AE49-(+AE49*W51)),IF(T51="Probabilidad",AE50,""))),"")</f>
        <v>0.8</v>
      </c>
      <c r="AF51" s="180" t="str">
        <f t="shared" si="37"/>
        <v>Alto</v>
      </c>
      <c r="AG51" s="171" t="s">
        <v>131</v>
      </c>
      <c r="AH51" s="206" t="s">
        <v>376</v>
      </c>
      <c r="AI51" s="206" t="s">
        <v>306</v>
      </c>
      <c r="AJ51" s="206" t="s">
        <v>307</v>
      </c>
      <c r="AK51" s="206" t="s">
        <v>343</v>
      </c>
      <c r="AL51" s="206" t="s">
        <v>343</v>
      </c>
      <c r="AM51" s="206" t="s">
        <v>343</v>
      </c>
      <c r="AN51" s="206" t="s">
        <v>343</v>
      </c>
      <c r="AO51" s="206" t="s">
        <v>343</v>
      </c>
      <c r="AP51" s="206" t="s">
        <v>343</v>
      </c>
      <c r="AQ51" s="207" t="s">
        <v>39</v>
      </c>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row>
    <row r="52" spans="1:75" ht="35.1" customHeight="1" x14ac:dyDescent="0.3">
      <c r="A52" s="313"/>
      <c r="B52" s="293"/>
      <c r="C52" s="293"/>
      <c r="D52" s="293"/>
      <c r="E52" s="293"/>
      <c r="F52" s="152"/>
      <c r="G52" s="293"/>
      <c r="H52" s="153"/>
      <c r="I52" s="293"/>
      <c r="J52" s="295"/>
      <c r="K52" s="288"/>
      <c r="L52" s="291"/>
      <c r="M52" s="303"/>
      <c r="N52" s="291">
        <f>IF(NOT(ISERROR(MATCH(M52,_xlfn.ANCHORARRAY(H63),0))),L65&amp;"Por favor no seleccionar los criterios de impacto",M52)</f>
        <v>0</v>
      </c>
      <c r="O52" s="288"/>
      <c r="P52" s="291"/>
      <c r="Q52" s="284"/>
      <c r="R52" s="163">
        <v>4</v>
      </c>
      <c r="S52" s="208"/>
      <c r="T52" s="164" t="str">
        <f t="shared" ref="T52:T54" si="38">IF(OR(U52="Preventivo",U52="Detectivo"),"Probabilidad",IF(U52="Correctivo","Impacto",""))</f>
        <v/>
      </c>
      <c r="U52" s="178"/>
      <c r="V52" s="178"/>
      <c r="W52" s="166" t="str">
        <f t="shared" si="35"/>
        <v/>
      </c>
      <c r="X52" s="178"/>
      <c r="Y52" s="178"/>
      <c r="Z52" s="178"/>
      <c r="AA52" s="167" t="str">
        <f>IFERROR(IF(AND(T51="Probabilidad",T52="Probabilidad"),(AC51-(+AC51*W52)),IF(AND(T51="Impacto",T52="Probabilidad"),(AC50-(+AC50*W52)),IF(T52="Impacto",AC51,""))),"")</f>
        <v/>
      </c>
      <c r="AB52" s="179" t="str">
        <f t="shared" si="30"/>
        <v/>
      </c>
      <c r="AC52" s="169" t="str">
        <f t="shared" si="36"/>
        <v/>
      </c>
      <c r="AD52" s="179" t="str">
        <f t="shared" si="32"/>
        <v/>
      </c>
      <c r="AE52" s="169" t="str">
        <f>IFERROR(IF(AND(T51="Impacto",T52="Impacto"),(AE51-(+AE51*W52)),IF(AND(T51="Probabilidad",T52="Impacto"),(AE50-(+AE50*W52)),IF(T52="Probabilidad",AE51,""))),"")</f>
        <v/>
      </c>
      <c r="AF52" s="180" t="str">
        <f>IFERROR(IF(OR(AND(AB52="Muy Baja",AD52="Leve"),AND(AB52="Muy Baja",AD52="Menor"),AND(AB52="Baja",AD52="Leve")),"Bajo",IF(OR(AND(AB52="Muy baja",AD52="Moderado"),AND(AB52="Baja",AD52="Menor"),AND(AB52="Baja",AD52="Moderado"),AND(AB52="Media",AD52="Leve"),AND(AB52="Media",AD52="Menor"),AND(AB52="Media",AD52="Moderado"),AND(AB52="Alta",AD52="Leve"),AND(AB52="Alta",AD52="Menor")),"Moderado",IF(OR(AND(AB52="Muy Baja",AD52="Mayor"),AND(AB52="Baja",AD52="Mayor"),AND(AB52="Media",AD52="Mayor"),AND(AB52="Alta",AD52="Moderado"),AND(AB52="Alta",AD52="Mayor"),AND(AB52="Muy Alta",AD52="Leve"),AND(AB52="Muy Alta",AD52="Menor"),AND(AB52="Muy Alta",AD52="Moderado"),AND(AB52="Muy Alta",AD52="Mayor")),"Alto",IF(OR(AND(AB52="Muy Baja",AD52="Catastrófico"),AND(AB52="Baja",AD52="Catastrófico"),AND(AB52="Media",AD52="Catastrófico"),AND(AB52="Alta",AD52="Catastrófico"),AND(AB52="Muy Alta",AD52="Catastrófico")),"Extremo","")))),"")</f>
        <v/>
      </c>
      <c r="AG52" s="181"/>
      <c r="AH52" s="206"/>
      <c r="AI52" s="206"/>
      <c r="AJ52" s="206"/>
      <c r="AK52" s="206"/>
      <c r="AL52" s="206"/>
      <c r="AM52" s="207"/>
      <c r="AN52" s="209"/>
      <c r="AO52" s="209"/>
      <c r="AP52" s="206"/>
      <c r="AQ52" s="207"/>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row>
    <row r="53" spans="1:75" ht="35.1" customHeight="1" x14ac:dyDescent="0.3">
      <c r="A53" s="313"/>
      <c r="B53" s="293"/>
      <c r="C53" s="293"/>
      <c r="D53" s="293"/>
      <c r="E53" s="293"/>
      <c r="F53" s="152"/>
      <c r="G53" s="293"/>
      <c r="H53" s="153"/>
      <c r="I53" s="293"/>
      <c r="J53" s="295"/>
      <c r="K53" s="288"/>
      <c r="L53" s="291"/>
      <c r="M53" s="303"/>
      <c r="N53" s="291">
        <f>IF(NOT(ISERROR(MATCH(M53,_xlfn.ANCHORARRAY(H64),0))),L66&amp;"Por favor no seleccionar los criterios de impacto",M53)</f>
        <v>0</v>
      </c>
      <c r="O53" s="288"/>
      <c r="P53" s="291"/>
      <c r="Q53" s="284"/>
      <c r="R53" s="163">
        <v>5</v>
      </c>
      <c r="S53" s="208"/>
      <c r="T53" s="164" t="str">
        <f t="shared" si="38"/>
        <v/>
      </c>
      <c r="U53" s="178"/>
      <c r="V53" s="178"/>
      <c r="W53" s="166" t="str">
        <f t="shared" si="35"/>
        <v/>
      </c>
      <c r="X53" s="178"/>
      <c r="Y53" s="178"/>
      <c r="Z53" s="178"/>
      <c r="AA53" s="167" t="str">
        <f>IFERROR(IF(AND(T52="Probabilidad",T53="Probabilidad"),(AC52-(+AC52*W53)),IF(AND(T52="Impacto",T53="Probabilidad"),(AC51-(+AC51*W53)),IF(T53="Impacto",AC52,""))),"")</f>
        <v/>
      </c>
      <c r="AB53" s="179" t="str">
        <f t="shared" si="30"/>
        <v/>
      </c>
      <c r="AC53" s="169" t="str">
        <f t="shared" si="36"/>
        <v/>
      </c>
      <c r="AD53" s="179" t="str">
        <f t="shared" si="32"/>
        <v/>
      </c>
      <c r="AE53" s="169" t="str">
        <f>IFERROR(IF(AND(T52="Impacto",T53="Impacto"),(AE52-(+AE52*W53)),IF(AND(T52="Probabilidad",T53="Impacto"),(AE51-(+AE51*W53)),IF(T53="Probabilidad",AE52,""))),"")</f>
        <v/>
      </c>
      <c r="AF53" s="180" t="str">
        <f t="shared" ref="AF53:AF54" si="39">IFERROR(IF(OR(AND(AB53="Muy Baja",AD53="Leve"),AND(AB53="Muy Baja",AD53="Menor"),AND(AB53="Baja",AD53="Leve")),"Bajo",IF(OR(AND(AB53="Muy baja",AD53="Moderado"),AND(AB53="Baja",AD53="Menor"),AND(AB53="Baja",AD53="Moderado"),AND(AB53="Media",AD53="Leve"),AND(AB53="Media",AD53="Menor"),AND(AB53="Media",AD53="Moderado"),AND(AB53="Alta",AD53="Leve"),AND(AB53="Alta",AD53="Menor")),"Moderado",IF(OR(AND(AB53="Muy Baja",AD53="Mayor"),AND(AB53="Baja",AD53="Mayor"),AND(AB53="Media",AD53="Mayor"),AND(AB53="Alta",AD53="Moderado"),AND(AB53="Alta",AD53="Mayor"),AND(AB53="Muy Alta",AD53="Leve"),AND(AB53="Muy Alta",AD53="Menor"),AND(AB53="Muy Alta",AD53="Moderado"),AND(AB53="Muy Alta",AD53="Mayor")),"Alto",IF(OR(AND(AB53="Muy Baja",AD53="Catastrófico"),AND(AB53="Baja",AD53="Catastrófico"),AND(AB53="Media",AD53="Catastrófico"),AND(AB53="Alta",AD53="Catastrófico"),AND(AB53="Muy Alta",AD53="Catastrófico")),"Extremo","")))),"")</f>
        <v/>
      </c>
      <c r="AG53" s="181"/>
      <c r="AH53" s="206"/>
      <c r="AI53" s="206"/>
      <c r="AJ53" s="206"/>
      <c r="AK53" s="206"/>
      <c r="AL53" s="206"/>
      <c r="AM53" s="207"/>
      <c r="AN53" s="209"/>
      <c r="AO53" s="209"/>
      <c r="AP53" s="206"/>
      <c r="AQ53" s="207"/>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row>
    <row r="54" spans="1:75" ht="35.1" customHeight="1" x14ac:dyDescent="0.3">
      <c r="A54" s="314"/>
      <c r="B54" s="294"/>
      <c r="C54" s="294"/>
      <c r="D54" s="294"/>
      <c r="E54" s="294"/>
      <c r="F54" s="162"/>
      <c r="G54" s="294"/>
      <c r="H54" s="175"/>
      <c r="I54" s="294"/>
      <c r="J54" s="296"/>
      <c r="K54" s="289"/>
      <c r="L54" s="292"/>
      <c r="M54" s="304"/>
      <c r="N54" s="292">
        <f>IF(NOT(ISERROR(MATCH(M54,_xlfn.ANCHORARRAY(H65),0))),L67&amp;"Por favor no seleccionar los criterios de impacto",M54)</f>
        <v>0</v>
      </c>
      <c r="O54" s="289"/>
      <c r="P54" s="292"/>
      <c r="Q54" s="285"/>
      <c r="R54" s="163">
        <v>6</v>
      </c>
      <c r="S54" s="208"/>
      <c r="T54" s="164" t="str">
        <f t="shared" si="38"/>
        <v/>
      </c>
      <c r="U54" s="178"/>
      <c r="V54" s="178"/>
      <c r="W54" s="166" t="str">
        <f t="shared" si="35"/>
        <v/>
      </c>
      <c r="X54" s="178"/>
      <c r="Y54" s="178"/>
      <c r="Z54" s="178"/>
      <c r="AA54" s="167" t="str">
        <f>IFERROR(IF(AND(T53="Probabilidad",T54="Probabilidad"),(AC53-(+AC53*W54)),IF(AND(T53="Impacto",T54="Probabilidad"),(AC52-(+AC52*W54)),IF(T54="Impacto",AC53,""))),"")</f>
        <v/>
      </c>
      <c r="AB54" s="179" t="str">
        <f t="shared" si="30"/>
        <v/>
      </c>
      <c r="AC54" s="169" t="str">
        <f t="shared" si="36"/>
        <v/>
      </c>
      <c r="AD54" s="179" t="str">
        <f t="shared" si="32"/>
        <v/>
      </c>
      <c r="AE54" s="169" t="str">
        <f>IFERROR(IF(AND(T53="Impacto",T54="Impacto"),(AE53-(+AE53*W54)),IF(AND(T53="Probabilidad",T54="Impacto"),(AE52-(+AE52*W54)),IF(T54="Probabilidad",AE53,""))),"")</f>
        <v/>
      </c>
      <c r="AF54" s="180" t="str">
        <f t="shared" si="39"/>
        <v/>
      </c>
      <c r="AG54" s="181"/>
      <c r="AH54" s="206"/>
      <c r="AI54" s="206"/>
      <c r="AJ54" s="206"/>
      <c r="AK54" s="206"/>
      <c r="AL54" s="206"/>
      <c r="AM54" s="207"/>
      <c r="AN54" s="209"/>
      <c r="AO54" s="209"/>
      <c r="AP54" s="206"/>
      <c r="AQ54" s="207"/>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row>
    <row r="55" spans="1:75" ht="35.1" customHeight="1" x14ac:dyDescent="0.3">
      <c r="A55" s="312">
        <v>3</v>
      </c>
      <c r="B55" s="311" t="s">
        <v>127</v>
      </c>
      <c r="C55" s="311" t="s">
        <v>242</v>
      </c>
      <c r="D55" s="320" t="s">
        <v>248</v>
      </c>
      <c r="E55" s="320" t="s">
        <v>275</v>
      </c>
      <c r="F55" s="201" t="s">
        <v>377</v>
      </c>
      <c r="G55" s="320" t="s">
        <v>378</v>
      </c>
      <c r="H55" s="187" t="s">
        <v>379</v>
      </c>
      <c r="I55" s="311" t="s">
        <v>120</v>
      </c>
      <c r="J55" s="308">
        <v>400</v>
      </c>
      <c r="K55" s="287" t="str">
        <f>IF(J55&lt;=0,"",IF(J55&lt;=2,"Muy Baja",IF(J55&lt;=24,"Baja",IF(J55&lt;=500,"Media",IF(J55&lt;=5000,"Alta","Muy Alta")))))</f>
        <v>Media</v>
      </c>
      <c r="L55" s="290">
        <f>IF(K55="","",IF(K55="Muy Baja",0.2,IF(K55="Baja",0.4,IF(K55="Media",0.6,IF(K55="Alta",0.8,IF(K55="Muy Alta",1,))))))</f>
        <v>0.6</v>
      </c>
      <c r="M55" s="305" t="s">
        <v>148</v>
      </c>
      <c r="N55" s="290" t="str">
        <f>IF(NOT(ISERROR(MATCH(M55,'[2]Tabla Impacto'!$B$221:$B$223,0))),'[2]Tabla Impacto'!$F$223&amp;"Por favor no seleccionar los criterios de impacto(Afectación Económica o presupuestal y Pérdida Reputacional)",M55)</f>
        <v xml:space="preserve">     El riesgo afecta la imagen de la entidad con algunos usuarios de relevancia frente al logro de los objetivos</v>
      </c>
      <c r="O55" s="287" t="str">
        <f>IF(OR(N55='[2]Tabla Impacto'!$C$11,N55='[2]Tabla Impacto'!$D$11),"Leve",IF(OR(N55='[2]Tabla Impacto'!$C$12,N55='[2]Tabla Impacto'!$D$12),"Menor",IF(OR(N55='[2]Tabla Impacto'!$C$13,N55='[2]Tabla Impacto'!$D$13),"Moderado",IF(OR(N55='[2]Tabla Impacto'!$C$14,N55='[2]Tabla Impacto'!$D$14),"Mayor",IF(OR(N55='[2]Tabla Impacto'!$C$15,N55='[2]Tabla Impacto'!$D$15),"Catastrófico","")))))</f>
        <v>Moderado</v>
      </c>
      <c r="P55" s="290">
        <f>IF(O55="","",IF(O55="Leve",0.2,IF(O55="Menor",0.4,IF(O55="Moderado",0.6,IF(O55="Mayor",0.8,IF(O55="Catastrófico",1,))))))</f>
        <v>0.6</v>
      </c>
      <c r="Q55" s="283" t="str">
        <f>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Moderado</v>
      </c>
      <c r="R55" s="163">
        <v>1</v>
      </c>
      <c r="S55" s="197" t="s">
        <v>380</v>
      </c>
      <c r="T55" s="164" t="str">
        <f>IF(OR(U55="Preventivo",U55="Detectivo"),"Probabilidad",IF(U55="Correctivo","Impacto",""))</f>
        <v>Probabilidad</v>
      </c>
      <c r="U55" s="165" t="s">
        <v>14</v>
      </c>
      <c r="V55" s="165" t="s">
        <v>8</v>
      </c>
      <c r="W55" s="166" t="str">
        <f>IF(AND(U55="Preventivo",V55="Automático"),"50%",IF(AND(U55="Preventivo",V55="Manual"),"40%",IF(AND(U55="Detectivo",V55="Automático"),"40%",IF(AND(U55="Detectivo",V55="Manual"),"30%",IF(AND(U55="Correctivo",V55="Automático"),"35%",IF(AND(U55="Correctivo",V55="Manual"),"25%",""))))))</f>
        <v>30%</v>
      </c>
      <c r="X55" s="165" t="s">
        <v>18</v>
      </c>
      <c r="Y55" s="165" t="s">
        <v>21</v>
      </c>
      <c r="Z55" s="165" t="s">
        <v>116</v>
      </c>
      <c r="AA55" s="167">
        <f>IFERROR(IF(T55="Probabilidad",(L55-(+L55*W55)),IF(T55="Impacto",L55,"")),"")</f>
        <v>0.42</v>
      </c>
      <c r="AB55" s="168" t="str">
        <f>IFERROR(IF(AA55="","",IF(AA55&lt;=0.2,"Muy Baja",IF(AA55&lt;=0.4,"Baja",IF(AA55&lt;=0.6,"Media",IF(AA55&lt;=0.8,"Alta","Muy Alta"))))),"")</f>
        <v>Media</v>
      </c>
      <c r="AC55" s="169">
        <f>+AA55</f>
        <v>0.42</v>
      </c>
      <c r="AD55" s="179" t="str">
        <f>IFERROR(IF(AE55="","",IF(AE55&lt;=0.2,"Leve",IF(AE55&lt;=0.4,"Menor",IF(AE55&lt;=0.6,"Moderado",IF(AE55&lt;=0.8,"Mayor","Catastrófico"))))),"")</f>
        <v>Moderado</v>
      </c>
      <c r="AE55" s="169">
        <f>IFERROR(IF(T55="Impacto",(P55-(+P55*W55)),IF(T55="Probabilidad",P55,"")),"")</f>
        <v>0.6</v>
      </c>
      <c r="AF55" s="180" t="str">
        <f>IFERROR(IF(OR(AND(AB55="Muy Baja",AD55="Leve"),AND(AB55="Muy Baja",AD55="Menor"),AND(AB55="Baja",AD55="Leve")),"Bajo",IF(OR(AND(AB55="Muy baja",AD55="Moderado"),AND(AB55="Baja",AD55="Menor"),AND(AB55="Baja",AD55="Moderado"),AND(AB55="Media",AD55="Leve"),AND(AB55="Media",AD55="Menor"),AND(AB55="Media",AD55="Moderado"),AND(AB55="Alta",AD55="Leve"),AND(AB55="Alta",AD55="Menor")),"Moderado",IF(OR(AND(AB55="Muy Baja",AD55="Mayor"),AND(AB55="Baja",AD55="Mayor"),AND(AB55="Media",AD55="Mayor"),AND(AB55="Alta",AD55="Moderado"),AND(AB55="Alta",AD55="Mayor"),AND(AB55="Muy Alta",AD55="Leve"),AND(AB55="Muy Alta",AD55="Menor"),AND(AB55="Muy Alta",AD55="Moderado"),AND(AB55="Muy Alta",AD55="Mayor")),"Alto",IF(OR(AND(AB55="Muy Baja",AD55="Catastrófico"),AND(AB55="Baja",AD55="Catastrófico"),AND(AB55="Media",AD55="Catastrófico"),AND(AB55="Alta",AD55="Catastrófico"),AND(AB55="Muy Alta",AD55="Catastrófico")),"Extremo","")))),"")</f>
        <v>Moderado</v>
      </c>
      <c r="AG55" s="171" t="s">
        <v>131</v>
      </c>
      <c r="AH55" s="206" t="s">
        <v>381</v>
      </c>
      <c r="AI55" s="206" t="s">
        <v>306</v>
      </c>
      <c r="AJ55" s="206" t="s">
        <v>307</v>
      </c>
      <c r="AK55" s="206" t="s">
        <v>343</v>
      </c>
      <c r="AL55" s="206" t="s">
        <v>343</v>
      </c>
      <c r="AM55" s="206" t="s">
        <v>343</v>
      </c>
      <c r="AN55" s="206" t="s">
        <v>343</v>
      </c>
      <c r="AO55" s="206" t="s">
        <v>343</v>
      </c>
      <c r="AP55" s="206" t="s">
        <v>343</v>
      </c>
      <c r="AQ55" s="207" t="s">
        <v>39</v>
      </c>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row>
    <row r="56" spans="1:75" ht="35.1" customHeight="1" x14ac:dyDescent="0.3">
      <c r="A56" s="313"/>
      <c r="B56" s="293"/>
      <c r="C56" s="293"/>
      <c r="D56" s="293"/>
      <c r="E56" s="293"/>
      <c r="F56" s="186" t="s">
        <v>382</v>
      </c>
      <c r="G56" s="293"/>
      <c r="H56" s="196" t="s">
        <v>383</v>
      </c>
      <c r="I56" s="293"/>
      <c r="J56" s="295"/>
      <c r="K56" s="288"/>
      <c r="L56" s="291"/>
      <c r="M56" s="303"/>
      <c r="N56" s="291">
        <f t="shared" ref="N56:N60" si="40">IF(NOT(ISERROR(MATCH(M56,_xlfn.ANCHORARRAY(H67),0))),L69&amp;"Por favor no seleccionar los criterios de impacto",M56)</f>
        <v>0</v>
      </c>
      <c r="O56" s="288"/>
      <c r="P56" s="291"/>
      <c r="Q56" s="284"/>
      <c r="R56" s="163">
        <v>2</v>
      </c>
      <c r="S56" s="197" t="s">
        <v>384</v>
      </c>
      <c r="T56" s="164" t="str">
        <f>IF(OR(U56="Preventivo",U56="Detectivo"),"Probabilidad",IF(U56="Correctivo","Impacto",""))</f>
        <v>Probabilidad</v>
      </c>
      <c r="U56" s="165" t="s">
        <v>14</v>
      </c>
      <c r="V56" s="165" t="s">
        <v>8</v>
      </c>
      <c r="W56" s="166" t="str">
        <f t="shared" ref="W56:W60" si="41">IF(AND(U56="Preventivo",V56="Automático"),"50%",IF(AND(U56="Preventivo",V56="Manual"),"40%",IF(AND(U56="Detectivo",V56="Automático"),"40%",IF(AND(U56="Detectivo",V56="Manual"),"30%",IF(AND(U56="Correctivo",V56="Automático"),"35%",IF(AND(U56="Correctivo",V56="Manual"),"25%",""))))))</f>
        <v>30%</v>
      </c>
      <c r="X56" s="165" t="s">
        <v>18</v>
      </c>
      <c r="Y56" s="165" t="s">
        <v>22</v>
      </c>
      <c r="Z56" s="165" t="s">
        <v>116</v>
      </c>
      <c r="AA56" s="167">
        <f>IFERROR(IF(AND(T55="Probabilidad",T56="Probabilidad"),(AC55-(+AC55*W56)),IF(T56="Probabilidad",(L55-(+L55*W56)),IF(T56="Impacto",AC55,""))),"")</f>
        <v>0.29399999999999998</v>
      </c>
      <c r="AB56" s="168" t="str">
        <f t="shared" si="30"/>
        <v>Baja</v>
      </c>
      <c r="AC56" s="169">
        <f t="shared" ref="AC56:AC60" si="42">+AA56</f>
        <v>0.29399999999999998</v>
      </c>
      <c r="AD56" s="179" t="str">
        <f t="shared" si="32"/>
        <v>Moderado</v>
      </c>
      <c r="AE56" s="169">
        <f>IFERROR(IF(AND(T55="Impacto",T56="Impacto"),(AE55-(+AE55*W56)),IF(T56="Impacto",(P55-(+P55*W56)),IF(T56="Probabilidad",AE55,""))),"")</f>
        <v>0.6</v>
      </c>
      <c r="AF56" s="180" t="str">
        <f t="shared" ref="AF56:AF57" si="43">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Moderado</v>
      </c>
      <c r="AG56" s="171" t="s">
        <v>131</v>
      </c>
      <c r="AH56" s="206" t="s">
        <v>385</v>
      </c>
      <c r="AI56" s="206" t="s">
        <v>306</v>
      </c>
      <c r="AJ56" s="206" t="s">
        <v>307</v>
      </c>
      <c r="AK56" s="206" t="s">
        <v>343</v>
      </c>
      <c r="AL56" s="206" t="s">
        <v>343</v>
      </c>
      <c r="AM56" s="206" t="s">
        <v>343</v>
      </c>
      <c r="AN56" s="206" t="s">
        <v>343</v>
      </c>
      <c r="AO56" s="206" t="s">
        <v>343</v>
      </c>
      <c r="AP56" s="206" t="s">
        <v>343</v>
      </c>
      <c r="AQ56" s="207" t="s">
        <v>39</v>
      </c>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row>
    <row r="57" spans="1:75" ht="35.1" customHeight="1" x14ac:dyDescent="0.3">
      <c r="A57" s="313"/>
      <c r="B57" s="293"/>
      <c r="C57" s="293"/>
      <c r="D57" s="293"/>
      <c r="E57" s="293"/>
      <c r="F57" s="152"/>
      <c r="G57" s="293"/>
      <c r="H57" s="153"/>
      <c r="I57" s="293"/>
      <c r="J57" s="295"/>
      <c r="K57" s="288"/>
      <c r="L57" s="291"/>
      <c r="M57" s="303"/>
      <c r="N57" s="291">
        <f t="shared" si="40"/>
        <v>0</v>
      </c>
      <c r="O57" s="288"/>
      <c r="P57" s="291"/>
      <c r="Q57" s="284"/>
      <c r="R57" s="163">
        <v>3</v>
      </c>
      <c r="S57" s="174"/>
      <c r="T57" s="164" t="str">
        <f>IF(OR(U57="Preventivo",U57="Detectivo"),"Probabilidad",IF(U57="Correctivo","Impacto",""))</f>
        <v/>
      </c>
      <c r="U57" s="178"/>
      <c r="V57" s="178"/>
      <c r="W57" s="166" t="str">
        <f t="shared" si="41"/>
        <v/>
      </c>
      <c r="X57" s="178"/>
      <c r="Y57" s="178"/>
      <c r="Z57" s="178"/>
      <c r="AA57" s="167" t="str">
        <f>IFERROR(IF(AND(T56="Probabilidad",T57="Probabilidad"),(AC56-(+AC56*W57)),IF(AND(T56="Impacto",T57="Probabilidad"),(AC55-(+AC55*W57)),IF(T57="Impacto",AC56,""))),"")</f>
        <v/>
      </c>
      <c r="AB57" s="179" t="str">
        <f t="shared" si="30"/>
        <v/>
      </c>
      <c r="AC57" s="169" t="str">
        <f t="shared" si="42"/>
        <v/>
      </c>
      <c r="AD57" s="179" t="str">
        <f t="shared" si="32"/>
        <v/>
      </c>
      <c r="AE57" s="169" t="str">
        <f>IFERROR(IF(AND(T56="Impacto",T57="Impacto"),(AE56-(+AE56*W57)),IF(AND(T56="Probabilidad",T57="Impacto"),(AE55-(+AE55*W57)),IF(T57="Probabilidad",AE56,""))),"")</f>
        <v/>
      </c>
      <c r="AF57" s="180" t="str">
        <f t="shared" si="43"/>
        <v/>
      </c>
      <c r="AG57" s="181"/>
      <c r="AH57" s="206"/>
      <c r="AI57" s="206"/>
      <c r="AJ57" s="206"/>
      <c r="AK57" s="206"/>
      <c r="AL57" s="206"/>
      <c r="AM57" s="207"/>
      <c r="AN57" s="209"/>
      <c r="AO57" s="209"/>
      <c r="AP57" s="206"/>
      <c r="AQ57" s="207"/>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row>
    <row r="58" spans="1:75" ht="35.1" customHeight="1" x14ac:dyDescent="0.3">
      <c r="A58" s="313"/>
      <c r="B58" s="293"/>
      <c r="C58" s="293"/>
      <c r="D58" s="293"/>
      <c r="E58" s="293"/>
      <c r="F58" s="152"/>
      <c r="G58" s="293"/>
      <c r="H58" s="153"/>
      <c r="I58" s="293"/>
      <c r="J58" s="295"/>
      <c r="K58" s="288"/>
      <c r="L58" s="291"/>
      <c r="M58" s="303"/>
      <c r="N58" s="291">
        <f t="shared" si="40"/>
        <v>0</v>
      </c>
      <c r="O58" s="288"/>
      <c r="P58" s="291"/>
      <c r="Q58" s="284"/>
      <c r="R58" s="163">
        <v>4</v>
      </c>
      <c r="S58" s="208"/>
      <c r="T58" s="164" t="str">
        <f t="shared" ref="T58:T60" si="44">IF(OR(U58="Preventivo",U58="Detectivo"),"Probabilidad",IF(U58="Correctivo","Impacto",""))</f>
        <v/>
      </c>
      <c r="U58" s="178"/>
      <c r="V58" s="178"/>
      <c r="W58" s="166" t="str">
        <f t="shared" si="41"/>
        <v/>
      </c>
      <c r="X58" s="178"/>
      <c r="Y58" s="178"/>
      <c r="Z58" s="178"/>
      <c r="AA58" s="167" t="str">
        <f>IFERROR(IF(AND(T57="Probabilidad",T58="Probabilidad"),(AC57-(+AC57*W58)),IF(AND(T57="Impacto",T58="Probabilidad"),(AC56-(+AC56*W58)),IF(T58="Impacto",AC57,""))),"")</f>
        <v/>
      </c>
      <c r="AB58" s="179" t="str">
        <f t="shared" si="30"/>
        <v/>
      </c>
      <c r="AC58" s="169" t="str">
        <f t="shared" si="42"/>
        <v/>
      </c>
      <c r="AD58" s="179" t="str">
        <f t="shared" si="32"/>
        <v/>
      </c>
      <c r="AE58" s="169" t="str">
        <f>IFERROR(IF(AND(T57="Impacto",T58="Impacto"),(AE57-(+AE57*W58)),IF(AND(T57="Probabilidad",T58="Impacto"),(AE56-(+AE56*W58)),IF(T58="Probabilidad",AE57,""))),"")</f>
        <v/>
      </c>
      <c r="AF58" s="180" t="str">
        <f>IFERROR(IF(OR(AND(AB58="Muy Baja",AD58="Leve"),AND(AB58="Muy Baja",AD58="Menor"),AND(AB58="Baja",AD58="Leve")),"Bajo",IF(OR(AND(AB58="Muy baja",AD58="Moderado"),AND(AB58="Baja",AD58="Menor"),AND(AB58="Baja",AD58="Moderado"),AND(AB58="Media",AD58="Leve"),AND(AB58="Media",AD58="Menor"),AND(AB58="Media",AD58="Moderado"),AND(AB58="Alta",AD58="Leve"),AND(AB58="Alta",AD58="Menor")),"Moderado",IF(OR(AND(AB58="Muy Baja",AD58="Mayor"),AND(AB58="Baja",AD58="Mayor"),AND(AB58="Media",AD58="Mayor"),AND(AB58="Alta",AD58="Moderado"),AND(AB58="Alta",AD58="Mayor"),AND(AB58="Muy Alta",AD58="Leve"),AND(AB58="Muy Alta",AD58="Menor"),AND(AB58="Muy Alta",AD58="Moderado"),AND(AB58="Muy Alta",AD58="Mayor")),"Alto",IF(OR(AND(AB58="Muy Baja",AD58="Catastrófico"),AND(AB58="Baja",AD58="Catastrófico"),AND(AB58="Media",AD58="Catastrófico"),AND(AB58="Alta",AD58="Catastrófico"),AND(AB58="Muy Alta",AD58="Catastrófico")),"Extremo","")))),"")</f>
        <v/>
      </c>
      <c r="AG58" s="181"/>
      <c r="AH58" s="206"/>
      <c r="AI58" s="206"/>
      <c r="AJ58" s="206"/>
      <c r="AK58" s="206"/>
      <c r="AL58" s="206"/>
      <c r="AM58" s="207"/>
      <c r="AN58" s="209"/>
      <c r="AO58" s="209"/>
      <c r="AP58" s="206"/>
      <c r="AQ58" s="207"/>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row>
    <row r="59" spans="1:75" ht="35.1" customHeight="1" x14ac:dyDescent="0.3">
      <c r="A59" s="313"/>
      <c r="B59" s="293"/>
      <c r="C59" s="293"/>
      <c r="D59" s="293"/>
      <c r="E59" s="293"/>
      <c r="F59" s="152"/>
      <c r="G59" s="293"/>
      <c r="H59" s="153"/>
      <c r="I59" s="293"/>
      <c r="J59" s="295"/>
      <c r="K59" s="288"/>
      <c r="L59" s="291"/>
      <c r="M59" s="303"/>
      <c r="N59" s="291">
        <f t="shared" si="40"/>
        <v>0</v>
      </c>
      <c r="O59" s="288"/>
      <c r="P59" s="291"/>
      <c r="Q59" s="284"/>
      <c r="R59" s="163">
        <v>5</v>
      </c>
      <c r="S59" s="208"/>
      <c r="T59" s="164" t="str">
        <f t="shared" si="44"/>
        <v/>
      </c>
      <c r="U59" s="178"/>
      <c r="V59" s="178"/>
      <c r="W59" s="166" t="str">
        <f t="shared" si="41"/>
        <v/>
      </c>
      <c r="X59" s="178"/>
      <c r="Y59" s="178"/>
      <c r="Z59" s="178"/>
      <c r="AA59" s="167" t="str">
        <f>IFERROR(IF(AND(T58="Probabilidad",T59="Probabilidad"),(AC58-(+AC58*W59)),IF(AND(T58="Impacto",T59="Probabilidad"),(AC57-(+AC57*W59)),IF(T59="Impacto",AC58,""))),"")</f>
        <v/>
      </c>
      <c r="AB59" s="179" t="str">
        <f t="shared" si="30"/>
        <v/>
      </c>
      <c r="AC59" s="169" t="str">
        <f t="shared" si="42"/>
        <v/>
      </c>
      <c r="AD59" s="179" t="str">
        <f t="shared" si="32"/>
        <v/>
      </c>
      <c r="AE59" s="169" t="str">
        <f>IFERROR(IF(AND(T58="Impacto",T59="Impacto"),(AE58-(+AE58*W59)),IF(AND(T58="Probabilidad",T59="Impacto"),(AE57-(+AE57*W59)),IF(T59="Probabilidad",AE58,""))),"")</f>
        <v/>
      </c>
      <c r="AF59" s="180" t="str">
        <f t="shared" ref="AF59:AF60" si="45">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
      </c>
      <c r="AG59" s="181"/>
      <c r="AH59" s="206"/>
      <c r="AI59" s="206"/>
      <c r="AJ59" s="206"/>
      <c r="AK59" s="206"/>
      <c r="AL59" s="206"/>
      <c r="AM59" s="207"/>
      <c r="AN59" s="209"/>
      <c r="AO59" s="209"/>
      <c r="AP59" s="206"/>
      <c r="AQ59" s="207"/>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row>
    <row r="60" spans="1:75" ht="35.1" customHeight="1" x14ac:dyDescent="0.3">
      <c r="A60" s="314"/>
      <c r="B60" s="294"/>
      <c r="C60" s="294"/>
      <c r="D60" s="294"/>
      <c r="E60" s="294"/>
      <c r="F60" s="162"/>
      <c r="G60" s="294"/>
      <c r="H60" s="175"/>
      <c r="I60" s="294"/>
      <c r="J60" s="296"/>
      <c r="K60" s="289"/>
      <c r="L60" s="292"/>
      <c r="M60" s="304"/>
      <c r="N60" s="292">
        <f t="shared" si="40"/>
        <v>0</v>
      </c>
      <c r="O60" s="289"/>
      <c r="P60" s="292"/>
      <c r="Q60" s="285"/>
      <c r="R60" s="163">
        <v>6</v>
      </c>
      <c r="S60" s="208"/>
      <c r="T60" s="164" t="str">
        <f t="shared" si="44"/>
        <v/>
      </c>
      <c r="U60" s="178"/>
      <c r="V60" s="178"/>
      <c r="W60" s="166" t="str">
        <f t="shared" si="41"/>
        <v/>
      </c>
      <c r="X60" s="178"/>
      <c r="Y60" s="178"/>
      <c r="Z60" s="178"/>
      <c r="AA60" s="167" t="str">
        <f>IFERROR(IF(AND(T59="Probabilidad",T60="Probabilidad"),(AC59-(+AC59*W60)),IF(AND(T59="Impacto",T60="Probabilidad"),(AC58-(+AC58*W60)),IF(T60="Impacto",AC59,""))),"")</f>
        <v/>
      </c>
      <c r="AB60" s="179" t="str">
        <f t="shared" si="30"/>
        <v/>
      </c>
      <c r="AC60" s="169" t="str">
        <f t="shared" si="42"/>
        <v/>
      </c>
      <c r="AD60" s="179" t="str">
        <f t="shared" si="32"/>
        <v/>
      </c>
      <c r="AE60" s="169" t="str">
        <f>IFERROR(IF(AND(T59="Impacto",T60="Impacto"),(AE59-(+AE59*W60)),IF(AND(T59="Probabilidad",T60="Impacto"),(AE58-(+AE58*W60)),IF(T60="Probabilidad",AE59,""))),"")</f>
        <v/>
      </c>
      <c r="AF60" s="180" t="str">
        <f t="shared" si="45"/>
        <v/>
      </c>
      <c r="AG60" s="181"/>
      <c r="AH60" s="206"/>
      <c r="AI60" s="206"/>
      <c r="AJ60" s="206"/>
      <c r="AK60" s="206"/>
      <c r="AL60" s="206"/>
      <c r="AM60" s="207"/>
      <c r="AN60" s="209"/>
      <c r="AO60" s="209"/>
      <c r="AP60" s="206"/>
      <c r="AQ60" s="207"/>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row>
    <row r="61" spans="1:75" ht="35.1" customHeight="1" x14ac:dyDescent="0.3">
      <c r="A61" s="312">
        <v>4</v>
      </c>
      <c r="B61" s="311" t="s">
        <v>127</v>
      </c>
      <c r="C61" s="311" t="s">
        <v>242</v>
      </c>
      <c r="D61" s="320" t="s">
        <v>249</v>
      </c>
      <c r="E61" s="320" t="s">
        <v>266</v>
      </c>
      <c r="F61" s="185" t="s">
        <v>386</v>
      </c>
      <c r="G61" s="320" t="s">
        <v>387</v>
      </c>
      <c r="H61" s="187" t="s">
        <v>388</v>
      </c>
      <c r="I61" s="311" t="s">
        <v>120</v>
      </c>
      <c r="J61" s="308">
        <v>400</v>
      </c>
      <c r="K61" s="287" t="str">
        <f>IF(J61&lt;=0,"",IF(J61&lt;=2,"Muy Baja",IF(J61&lt;=24,"Baja",IF(J61&lt;=500,"Media",IF(J61&lt;=5000,"Alta","Muy Alta")))))</f>
        <v>Media</v>
      </c>
      <c r="L61" s="290">
        <f>IF(K61="","",IF(K61="Muy Baja",0.2,IF(K61="Baja",0.4,IF(K61="Media",0.6,IF(K61="Alta",0.8,IF(K61="Muy Alta",1,))))))</f>
        <v>0.6</v>
      </c>
      <c r="M61" s="305" t="s">
        <v>149</v>
      </c>
      <c r="N61" s="290" t="str">
        <f>IF(NOT(ISERROR(MATCH(M61,'[2]Tabla Impacto'!$B$221:$B$223,0))),'[2]Tabla Impacto'!$F$223&amp;"Por favor no seleccionar los criterios de impacto(Afectación Económica o presupuestal y Pérdida Reputacional)",M61)</f>
        <v xml:space="preserve">     El riesgo afecta la imagen de de la entidad con efecto publicitario sostenido a nivel de sector administrativo, nivel departamental o municipal</v>
      </c>
      <c r="O61" s="287" t="str">
        <f>IF(OR(N61='[2]Tabla Impacto'!$C$11,N61='[2]Tabla Impacto'!$D$11),"Leve",IF(OR(N61='[2]Tabla Impacto'!$C$12,N61='[2]Tabla Impacto'!$D$12),"Menor",IF(OR(N61='[2]Tabla Impacto'!$C$13,N61='[2]Tabla Impacto'!$D$13),"Moderado",IF(OR(N61='[2]Tabla Impacto'!$C$14,N61='[2]Tabla Impacto'!$D$14),"Mayor",IF(OR(N61='[2]Tabla Impacto'!$C$15,N61='[2]Tabla Impacto'!$D$15),"Catastrófico","")))))</f>
        <v>Mayor</v>
      </c>
      <c r="P61" s="290">
        <f>IF(O61="","",IF(O61="Leve",0.2,IF(O61="Menor",0.4,IF(O61="Moderado",0.6,IF(O61="Mayor",0.8,IF(O61="Catastrófico",1,))))))</f>
        <v>0.8</v>
      </c>
      <c r="Q61" s="283" t="str">
        <f>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Alto</v>
      </c>
      <c r="R61" s="163">
        <v>1</v>
      </c>
      <c r="S61" s="197" t="s">
        <v>389</v>
      </c>
      <c r="T61" s="164" t="str">
        <f>IF(OR(U61="Preventivo",U61="Detectivo"),"Probabilidad",IF(U61="Correctivo","Impacto",""))</f>
        <v>Probabilidad</v>
      </c>
      <c r="U61" s="165" t="s">
        <v>13</v>
      </c>
      <c r="V61" s="165" t="s">
        <v>8</v>
      </c>
      <c r="W61" s="166" t="str">
        <f>IF(AND(U61="Preventivo",V61="Automático"),"50%",IF(AND(U61="Preventivo",V61="Manual"),"40%",IF(AND(U61="Detectivo",V61="Automático"),"40%",IF(AND(U61="Detectivo",V61="Manual"),"30%",IF(AND(U61="Correctivo",V61="Automático"),"35%",IF(AND(U61="Correctivo",V61="Manual"),"25%",""))))))</f>
        <v>40%</v>
      </c>
      <c r="X61" s="165" t="s">
        <v>18</v>
      </c>
      <c r="Y61" s="165" t="s">
        <v>21</v>
      </c>
      <c r="Z61" s="165" t="s">
        <v>116</v>
      </c>
      <c r="AA61" s="167">
        <f>IFERROR(IF(T61="Probabilidad",(L61-(+L61*W61)),IF(T61="Impacto",L61,"")),"")</f>
        <v>0.36</v>
      </c>
      <c r="AB61" s="168" t="str">
        <f>IFERROR(IF(AA61="","",IF(AA61&lt;=0.2,"Muy Baja",IF(AA61&lt;=0.4,"Baja",IF(AA61&lt;=0.6,"Media",IF(AA61&lt;=0.8,"Alta","Muy Alta"))))),"")</f>
        <v>Baja</v>
      </c>
      <c r="AC61" s="169">
        <f>+AA61</f>
        <v>0.36</v>
      </c>
      <c r="AD61" s="179" t="str">
        <f>IFERROR(IF(AE61="","",IF(AE61&lt;=0.2,"Leve",IF(AE61&lt;=0.4,"Menor",IF(AE61&lt;=0.6,"Moderado",IF(AE61&lt;=0.8,"Mayor","Catastrófico"))))),"")</f>
        <v>Mayor</v>
      </c>
      <c r="AE61" s="169">
        <f>IFERROR(IF(T61="Impacto",(P61-(+P61*W61)),IF(T61="Probabilidad",P61,"")),"")</f>
        <v>0.8</v>
      </c>
      <c r="AF61" s="180" t="str">
        <f>IFERROR(IF(OR(AND(AB61="Muy Baja",AD61="Leve"),AND(AB61="Muy Baja",AD61="Menor"),AND(AB61="Baja",AD61="Leve")),"Bajo",IF(OR(AND(AB61="Muy baja",AD61="Moderado"),AND(AB61="Baja",AD61="Menor"),AND(AB61="Baja",AD61="Moderado"),AND(AB61="Media",AD61="Leve"),AND(AB61="Media",AD61="Menor"),AND(AB61="Media",AD61="Moderado"),AND(AB61="Alta",AD61="Leve"),AND(AB61="Alta",AD61="Menor")),"Moderado",IF(OR(AND(AB61="Muy Baja",AD61="Mayor"),AND(AB61="Baja",AD61="Mayor"),AND(AB61="Media",AD61="Mayor"),AND(AB61="Alta",AD61="Moderado"),AND(AB61="Alta",AD61="Mayor"),AND(AB61="Muy Alta",AD61="Leve"),AND(AB61="Muy Alta",AD61="Menor"),AND(AB61="Muy Alta",AD61="Moderado"),AND(AB61="Muy Alta",AD61="Mayor")),"Alto",IF(OR(AND(AB61="Muy Baja",AD61="Catastrófico"),AND(AB61="Baja",AD61="Catastrófico"),AND(AB61="Media",AD61="Catastrófico"),AND(AB61="Alta",AD61="Catastrófico"),AND(AB61="Muy Alta",AD61="Catastrófico")),"Extremo","")))),"")</f>
        <v>Alto</v>
      </c>
      <c r="AG61" s="171" t="s">
        <v>131</v>
      </c>
      <c r="AH61" s="206" t="s">
        <v>390</v>
      </c>
      <c r="AI61" s="206" t="s">
        <v>306</v>
      </c>
      <c r="AJ61" s="206" t="s">
        <v>307</v>
      </c>
      <c r="AK61" s="206" t="s">
        <v>343</v>
      </c>
      <c r="AL61" s="206" t="s">
        <v>343</v>
      </c>
      <c r="AM61" s="206" t="s">
        <v>343</v>
      </c>
      <c r="AN61" s="206" t="s">
        <v>343</v>
      </c>
      <c r="AO61" s="206" t="s">
        <v>343</v>
      </c>
      <c r="AP61" s="206" t="s">
        <v>343</v>
      </c>
      <c r="AQ61" s="207" t="s">
        <v>39</v>
      </c>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row>
    <row r="62" spans="1:75" ht="35.1" customHeight="1" x14ac:dyDescent="0.3">
      <c r="A62" s="313"/>
      <c r="B62" s="293"/>
      <c r="C62" s="293"/>
      <c r="D62" s="293"/>
      <c r="E62" s="293"/>
      <c r="F62" s="184" t="s">
        <v>391</v>
      </c>
      <c r="G62" s="293"/>
      <c r="H62" s="196" t="s">
        <v>392</v>
      </c>
      <c r="I62" s="293"/>
      <c r="J62" s="295"/>
      <c r="K62" s="288"/>
      <c r="L62" s="291"/>
      <c r="M62" s="303"/>
      <c r="N62" s="291">
        <f t="shared" ref="N62:N66" si="46">IF(NOT(ISERROR(MATCH(M62,_xlfn.ANCHORARRAY(H73),0))),L75&amp;"Por favor no seleccionar los criterios de impacto",M62)</f>
        <v>0</v>
      </c>
      <c r="O62" s="288"/>
      <c r="P62" s="291"/>
      <c r="Q62" s="284"/>
      <c r="R62" s="163">
        <v>2</v>
      </c>
      <c r="S62" s="197" t="s">
        <v>393</v>
      </c>
      <c r="T62" s="164" t="str">
        <f>IF(OR(U62="Preventivo",U62="Detectivo"),"Probabilidad",IF(U62="Correctivo","Impacto",""))</f>
        <v>Probabilidad</v>
      </c>
      <c r="U62" s="165" t="s">
        <v>14</v>
      </c>
      <c r="V62" s="165" t="s">
        <v>8</v>
      </c>
      <c r="W62" s="166" t="str">
        <f t="shared" ref="W62:W66" si="47">IF(AND(U62="Preventivo",V62="Automático"),"50%",IF(AND(U62="Preventivo",V62="Manual"),"40%",IF(AND(U62="Detectivo",V62="Automático"),"40%",IF(AND(U62="Detectivo",V62="Manual"),"30%",IF(AND(U62="Correctivo",V62="Automático"),"35%",IF(AND(U62="Correctivo",V62="Manual"),"25%",""))))))</f>
        <v>30%</v>
      </c>
      <c r="X62" s="165" t="s">
        <v>18</v>
      </c>
      <c r="Y62" s="165" t="s">
        <v>21</v>
      </c>
      <c r="Z62" s="165" t="s">
        <v>116</v>
      </c>
      <c r="AA62" s="167">
        <f>IFERROR(IF(AND(T61="Probabilidad",T62="Probabilidad"),(AC61-(+AC61*W62)),IF(T62="Probabilidad",(L61-(+L61*W62)),IF(T62="Impacto",AC61,""))),"")</f>
        <v>0.252</v>
      </c>
      <c r="AB62" s="168" t="str">
        <f t="shared" si="30"/>
        <v>Baja</v>
      </c>
      <c r="AC62" s="169">
        <f t="shared" ref="AC62:AC66" si="48">+AA62</f>
        <v>0.252</v>
      </c>
      <c r="AD62" s="179" t="str">
        <f t="shared" si="32"/>
        <v>Mayor</v>
      </c>
      <c r="AE62" s="169">
        <f>IFERROR(IF(AND(T61="Impacto",T62="Impacto"),(AE61-(+AE61*W62)),IF(T62="Impacto",(P61-(+P61*W62)),IF(T62="Probabilidad",AE61,""))),"")</f>
        <v>0.8</v>
      </c>
      <c r="AF62" s="180" t="str">
        <f t="shared" ref="AF62:AF63" si="49">IFERROR(IF(OR(AND(AB62="Muy Baja",AD62="Leve"),AND(AB62="Muy Baja",AD62="Menor"),AND(AB62="Baja",AD62="Leve")),"Bajo",IF(OR(AND(AB62="Muy baja",AD62="Moderado"),AND(AB62="Baja",AD62="Menor"),AND(AB62="Baja",AD62="Moderado"),AND(AB62="Media",AD62="Leve"),AND(AB62="Media",AD62="Menor"),AND(AB62="Media",AD62="Moderado"),AND(AB62="Alta",AD62="Leve"),AND(AB62="Alta",AD62="Menor")),"Moderado",IF(OR(AND(AB62="Muy Baja",AD62="Mayor"),AND(AB62="Baja",AD62="Mayor"),AND(AB62="Media",AD62="Mayor"),AND(AB62="Alta",AD62="Moderado"),AND(AB62="Alta",AD62="Mayor"),AND(AB62="Muy Alta",AD62="Leve"),AND(AB62="Muy Alta",AD62="Menor"),AND(AB62="Muy Alta",AD62="Moderado"),AND(AB62="Muy Alta",AD62="Mayor")),"Alto",IF(OR(AND(AB62="Muy Baja",AD62="Catastrófico"),AND(AB62="Baja",AD62="Catastrófico"),AND(AB62="Media",AD62="Catastrófico"),AND(AB62="Alta",AD62="Catastrófico"),AND(AB62="Muy Alta",AD62="Catastrófico")),"Extremo","")))),"")</f>
        <v>Alto</v>
      </c>
      <c r="AG62" s="171" t="s">
        <v>131</v>
      </c>
      <c r="AH62" s="206" t="s">
        <v>394</v>
      </c>
      <c r="AI62" s="206" t="s">
        <v>306</v>
      </c>
      <c r="AJ62" s="206" t="s">
        <v>307</v>
      </c>
      <c r="AK62" s="206" t="s">
        <v>343</v>
      </c>
      <c r="AL62" s="206" t="s">
        <v>343</v>
      </c>
      <c r="AM62" s="206" t="s">
        <v>343</v>
      </c>
      <c r="AN62" s="206" t="s">
        <v>343</v>
      </c>
      <c r="AO62" s="206" t="s">
        <v>343</v>
      </c>
      <c r="AP62" s="206" t="s">
        <v>343</v>
      </c>
      <c r="AQ62" s="207" t="s">
        <v>39</v>
      </c>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row>
    <row r="63" spans="1:75" ht="35.1" customHeight="1" x14ac:dyDescent="0.3">
      <c r="A63" s="313"/>
      <c r="B63" s="293"/>
      <c r="C63" s="293"/>
      <c r="D63" s="293"/>
      <c r="E63" s="293"/>
      <c r="F63" s="152"/>
      <c r="G63" s="293"/>
      <c r="H63" s="153"/>
      <c r="I63" s="293"/>
      <c r="J63" s="295"/>
      <c r="K63" s="288"/>
      <c r="L63" s="291"/>
      <c r="M63" s="303"/>
      <c r="N63" s="291">
        <f t="shared" si="46"/>
        <v>0</v>
      </c>
      <c r="O63" s="288"/>
      <c r="P63" s="291"/>
      <c r="Q63" s="284"/>
      <c r="R63" s="163">
        <v>3</v>
      </c>
      <c r="S63" s="210" t="s">
        <v>395</v>
      </c>
      <c r="T63" s="164" t="str">
        <f>IF(OR(U63="Preventivo",U63="Detectivo"),"Probabilidad",IF(U63="Correctivo","Impacto",""))</f>
        <v>Probabilidad</v>
      </c>
      <c r="U63" s="165" t="s">
        <v>14</v>
      </c>
      <c r="V63" s="165" t="s">
        <v>8</v>
      </c>
      <c r="W63" s="166" t="str">
        <f t="shared" si="47"/>
        <v>30%</v>
      </c>
      <c r="X63" s="165" t="s">
        <v>18</v>
      </c>
      <c r="Y63" s="165" t="s">
        <v>21</v>
      </c>
      <c r="Z63" s="165" t="s">
        <v>116</v>
      </c>
      <c r="AA63" s="167">
        <f>IFERROR(IF(AND(T62="Probabilidad",T63="Probabilidad"),(AC62-(+AC62*W63)),IF(AND(T62="Impacto",T63="Probabilidad"),(AC61-(+AC61*W63)),IF(T63="Impacto",AC62,""))),"")</f>
        <v>0.1764</v>
      </c>
      <c r="AB63" s="168" t="str">
        <f t="shared" si="30"/>
        <v>Muy Baja</v>
      </c>
      <c r="AC63" s="169">
        <f t="shared" si="48"/>
        <v>0.1764</v>
      </c>
      <c r="AD63" s="179" t="str">
        <f t="shared" si="32"/>
        <v>Mayor</v>
      </c>
      <c r="AE63" s="169">
        <f>IFERROR(IF(AND(T62="Impacto",T63="Impacto"),(AE62-(+AE62*W63)),IF(AND(T62="Probabilidad",T63="Impacto"),(AE61-(+AE61*W63)),IF(T63="Probabilidad",AE62,""))),"")</f>
        <v>0.8</v>
      </c>
      <c r="AF63" s="180" t="str">
        <f t="shared" si="49"/>
        <v>Alto</v>
      </c>
      <c r="AG63" s="171" t="s">
        <v>131</v>
      </c>
      <c r="AH63" s="206" t="s">
        <v>396</v>
      </c>
      <c r="AI63" s="206" t="s">
        <v>306</v>
      </c>
      <c r="AJ63" s="206" t="s">
        <v>307</v>
      </c>
      <c r="AK63" s="206" t="s">
        <v>343</v>
      </c>
      <c r="AL63" s="206" t="s">
        <v>343</v>
      </c>
      <c r="AM63" s="206" t="s">
        <v>343</v>
      </c>
      <c r="AN63" s="206" t="s">
        <v>343</v>
      </c>
      <c r="AO63" s="206" t="s">
        <v>343</v>
      </c>
      <c r="AP63" s="206" t="s">
        <v>343</v>
      </c>
      <c r="AQ63" s="207" t="s">
        <v>39</v>
      </c>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row>
    <row r="64" spans="1:75" ht="35.1" customHeight="1" x14ac:dyDescent="0.3">
      <c r="A64" s="313"/>
      <c r="B64" s="293"/>
      <c r="C64" s="293"/>
      <c r="D64" s="293"/>
      <c r="E64" s="293"/>
      <c r="F64" s="152"/>
      <c r="G64" s="293"/>
      <c r="H64" s="153"/>
      <c r="I64" s="293"/>
      <c r="J64" s="295"/>
      <c r="K64" s="288"/>
      <c r="L64" s="291"/>
      <c r="M64" s="303"/>
      <c r="N64" s="291">
        <f t="shared" si="46"/>
        <v>0</v>
      </c>
      <c r="O64" s="288"/>
      <c r="P64" s="291"/>
      <c r="Q64" s="284"/>
      <c r="R64" s="163">
        <v>4</v>
      </c>
      <c r="S64" s="208"/>
      <c r="T64" s="164" t="str">
        <f t="shared" ref="T64:T66" si="50">IF(OR(U64="Preventivo",U64="Detectivo"),"Probabilidad",IF(U64="Correctivo","Impacto",""))</f>
        <v/>
      </c>
      <c r="U64" s="178"/>
      <c r="V64" s="178"/>
      <c r="W64" s="166" t="str">
        <f t="shared" si="47"/>
        <v/>
      </c>
      <c r="X64" s="178"/>
      <c r="Y64" s="178"/>
      <c r="Z64" s="178"/>
      <c r="AA64" s="167" t="str">
        <f>IFERROR(IF(AND(T63="Probabilidad",T64="Probabilidad"),(AC63-(+AC63*W64)),IF(AND(T63="Impacto",T64="Probabilidad"),(AC62-(+AC62*W64)),IF(T64="Impacto",AC63,""))),"")</f>
        <v/>
      </c>
      <c r="AB64" s="179" t="str">
        <f t="shared" si="30"/>
        <v/>
      </c>
      <c r="AC64" s="169" t="str">
        <f t="shared" si="48"/>
        <v/>
      </c>
      <c r="AD64" s="179" t="str">
        <f t="shared" si="32"/>
        <v/>
      </c>
      <c r="AE64" s="169" t="str">
        <f>IFERROR(IF(AND(T63="Impacto",T64="Impacto"),(AE63-(+AE63*W64)),IF(AND(T63="Probabilidad",T64="Impacto"),(AE62-(+AE62*W64)),IF(T64="Probabilidad",AE63,""))),"")</f>
        <v/>
      </c>
      <c r="AF64" s="180" t="str">
        <f>IFERROR(IF(OR(AND(AB64="Muy Baja",AD64="Leve"),AND(AB64="Muy Baja",AD64="Menor"),AND(AB64="Baja",AD64="Leve")),"Bajo",IF(OR(AND(AB64="Muy baja",AD64="Moderado"),AND(AB64="Baja",AD64="Menor"),AND(AB64="Baja",AD64="Moderado"),AND(AB64="Media",AD64="Leve"),AND(AB64="Media",AD64="Menor"),AND(AB64="Media",AD64="Moderado"),AND(AB64="Alta",AD64="Leve"),AND(AB64="Alta",AD64="Menor")),"Moderado",IF(OR(AND(AB64="Muy Baja",AD64="Mayor"),AND(AB64="Baja",AD64="Mayor"),AND(AB64="Media",AD64="Mayor"),AND(AB64="Alta",AD64="Moderado"),AND(AB64="Alta",AD64="Mayor"),AND(AB64="Muy Alta",AD64="Leve"),AND(AB64="Muy Alta",AD64="Menor"),AND(AB64="Muy Alta",AD64="Moderado"),AND(AB64="Muy Alta",AD64="Mayor")),"Alto",IF(OR(AND(AB64="Muy Baja",AD64="Catastrófico"),AND(AB64="Baja",AD64="Catastrófico"),AND(AB64="Media",AD64="Catastrófico"),AND(AB64="Alta",AD64="Catastrófico"),AND(AB64="Muy Alta",AD64="Catastrófico")),"Extremo","")))),"")</f>
        <v/>
      </c>
      <c r="AG64" s="171"/>
      <c r="AH64" s="206"/>
      <c r="AI64" s="206"/>
      <c r="AJ64" s="206"/>
      <c r="AK64" s="206"/>
      <c r="AL64" s="206"/>
      <c r="AM64" s="207"/>
      <c r="AN64" s="209"/>
      <c r="AO64" s="209"/>
      <c r="AP64" s="206"/>
      <c r="AQ64" s="207"/>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row>
    <row r="65" spans="1:75" ht="35.1" customHeight="1" x14ac:dyDescent="0.3">
      <c r="A65" s="313"/>
      <c r="B65" s="293"/>
      <c r="C65" s="293"/>
      <c r="D65" s="293"/>
      <c r="E65" s="293"/>
      <c r="F65" s="152"/>
      <c r="G65" s="293"/>
      <c r="H65" s="153"/>
      <c r="I65" s="293"/>
      <c r="J65" s="295"/>
      <c r="K65" s="288"/>
      <c r="L65" s="291"/>
      <c r="M65" s="303"/>
      <c r="N65" s="291">
        <f t="shared" si="46"/>
        <v>0</v>
      </c>
      <c r="O65" s="288"/>
      <c r="P65" s="291"/>
      <c r="Q65" s="284"/>
      <c r="R65" s="163">
        <v>5</v>
      </c>
      <c r="S65" s="208"/>
      <c r="T65" s="164" t="str">
        <f t="shared" si="50"/>
        <v/>
      </c>
      <c r="U65" s="178"/>
      <c r="V65" s="178"/>
      <c r="W65" s="166" t="str">
        <f t="shared" si="47"/>
        <v/>
      </c>
      <c r="X65" s="178"/>
      <c r="Y65" s="178"/>
      <c r="Z65" s="178"/>
      <c r="AA65" s="194"/>
      <c r="AB65" s="179" t="str">
        <f>IFERROR(IF(AA65="","",IF(AA65&lt;=0.2,"Muy Baja",IF(AA65&lt;=0.4,"Baja",IF(AA65&lt;=0.6,"Media",IF(AA65&lt;=0.8,"Alta","Muy Alta"))))),"")</f>
        <v/>
      </c>
      <c r="AC65" s="169"/>
      <c r="AD65" s="179" t="str">
        <f t="shared" si="32"/>
        <v/>
      </c>
      <c r="AE65" s="169" t="str">
        <f>IFERROR(IF(AND(T64="Impacto",T65="Impacto"),(AE64-(+AE64*W65)),IF(AND(T64="Probabilidad",T65="Impacto"),(AE63-(+AE63*W65)),IF(T65="Probabilidad",AE64,""))),"")</f>
        <v/>
      </c>
      <c r="AF65" s="180" t="str">
        <f t="shared" ref="AF65:AF66" si="51">IFERROR(IF(OR(AND(AB65="Muy Baja",AD65="Leve"),AND(AB65="Muy Baja",AD65="Menor"),AND(AB65="Baja",AD65="Leve")),"Bajo",IF(OR(AND(AB65="Muy baja",AD65="Moderado"),AND(AB65="Baja",AD65="Menor"),AND(AB65="Baja",AD65="Moderado"),AND(AB65="Media",AD65="Leve"),AND(AB65="Media",AD65="Menor"),AND(AB65="Media",AD65="Moderado"),AND(AB65="Alta",AD65="Leve"),AND(AB65="Alta",AD65="Menor")),"Moderado",IF(OR(AND(AB65="Muy Baja",AD65="Mayor"),AND(AB65="Baja",AD65="Mayor"),AND(AB65="Media",AD65="Mayor"),AND(AB65="Alta",AD65="Moderado"),AND(AB65="Alta",AD65="Mayor"),AND(AB65="Muy Alta",AD65="Leve"),AND(AB65="Muy Alta",AD65="Menor"),AND(AB65="Muy Alta",AD65="Moderado"),AND(AB65="Muy Alta",AD65="Mayor")),"Alto",IF(OR(AND(AB65="Muy Baja",AD65="Catastrófico"),AND(AB65="Baja",AD65="Catastrófico"),AND(AB65="Media",AD65="Catastrófico"),AND(AB65="Alta",AD65="Catastrófico"),AND(AB65="Muy Alta",AD65="Catastrófico")),"Extremo","")))),"")</f>
        <v/>
      </c>
      <c r="AG65" s="171"/>
      <c r="AH65" s="206"/>
      <c r="AI65" s="206"/>
      <c r="AJ65" s="206"/>
      <c r="AK65" s="206"/>
      <c r="AL65" s="206"/>
      <c r="AM65" s="207"/>
      <c r="AN65" s="209"/>
      <c r="AO65" s="209"/>
      <c r="AP65" s="206"/>
      <c r="AQ65" s="207"/>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row>
    <row r="66" spans="1:75" ht="35.1" customHeight="1" x14ac:dyDescent="0.3">
      <c r="A66" s="314"/>
      <c r="B66" s="294"/>
      <c r="C66" s="294"/>
      <c r="D66" s="294"/>
      <c r="E66" s="294"/>
      <c r="F66" s="162"/>
      <c r="G66" s="294"/>
      <c r="H66" s="175"/>
      <c r="I66" s="294"/>
      <c r="J66" s="296"/>
      <c r="K66" s="289"/>
      <c r="L66" s="292"/>
      <c r="M66" s="304"/>
      <c r="N66" s="292">
        <f t="shared" si="46"/>
        <v>0</v>
      </c>
      <c r="O66" s="289"/>
      <c r="P66" s="292"/>
      <c r="Q66" s="285"/>
      <c r="R66" s="163">
        <v>6</v>
      </c>
      <c r="S66" s="208"/>
      <c r="T66" s="164" t="str">
        <f t="shared" si="50"/>
        <v/>
      </c>
      <c r="U66" s="178"/>
      <c r="V66" s="178"/>
      <c r="W66" s="166" t="str">
        <f t="shared" si="47"/>
        <v/>
      </c>
      <c r="X66" s="178"/>
      <c r="Y66" s="178"/>
      <c r="Z66" s="178"/>
      <c r="AA66" s="167" t="str">
        <f>IFERROR(IF(AND(T65="Probabilidad",T66="Probabilidad"),(AC65-(+AC65*W66)),IF(AND(T65="Impacto",T66="Probabilidad"),(AC64-(+AC64*W66)),IF(T66="Impacto",AC65,""))),"")</f>
        <v/>
      </c>
      <c r="AB66" s="179" t="str">
        <f t="shared" si="30"/>
        <v/>
      </c>
      <c r="AC66" s="169" t="str">
        <f t="shared" si="48"/>
        <v/>
      </c>
      <c r="AD66" s="179" t="str">
        <f t="shared" si="32"/>
        <v/>
      </c>
      <c r="AE66" s="169" t="str">
        <f>IFERROR(IF(AND(T65="Impacto",T66="Impacto"),(AE65-(+AE65*W66)),IF(AND(T65="Probabilidad",T66="Impacto"),(AE64-(+AE64*W66)),IF(T66="Probabilidad",AE65,""))),"")</f>
        <v/>
      </c>
      <c r="AF66" s="180" t="str">
        <f t="shared" si="51"/>
        <v/>
      </c>
      <c r="AG66" s="171"/>
      <c r="AH66" s="206"/>
      <c r="AI66" s="206"/>
      <c r="AJ66" s="206"/>
      <c r="AK66" s="206"/>
      <c r="AL66" s="206"/>
      <c r="AM66" s="207"/>
      <c r="AN66" s="209"/>
      <c r="AO66" s="209"/>
      <c r="AP66" s="206"/>
      <c r="AQ66" s="207"/>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row>
    <row r="67" spans="1:75" ht="35.1" customHeight="1" x14ac:dyDescent="0.3">
      <c r="A67" s="312">
        <v>5</v>
      </c>
      <c r="B67" s="311" t="s">
        <v>127</v>
      </c>
      <c r="C67" s="311" t="s">
        <v>242</v>
      </c>
      <c r="D67" s="320" t="s">
        <v>250</v>
      </c>
      <c r="E67" s="320" t="s">
        <v>281</v>
      </c>
      <c r="F67" s="185" t="s">
        <v>397</v>
      </c>
      <c r="G67" s="320" t="s">
        <v>398</v>
      </c>
      <c r="H67" s="187" t="s">
        <v>399</v>
      </c>
      <c r="I67" s="311" t="s">
        <v>123</v>
      </c>
      <c r="J67" s="308">
        <v>12</v>
      </c>
      <c r="K67" s="287" t="str">
        <f>IF(J67&lt;=0,"",IF(J67&lt;=2,"Muy Baja",IF(J67&lt;=24,"Baja",IF(J67&lt;=500,"Media",IF(J67&lt;=5000,"Alta","Muy Alta")))))</f>
        <v>Baja</v>
      </c>
      <c r="L67" s="290">
        <f>IF(K67="","",IF(K67="Muy Baja",0.2,IF(K67="Baja",0.4,IF(K67="Media",0.6,IF(K67="Alta",0.8,IF(K67="Muy Alta",1,))))))</f>
        <v>0.4</v>
      </c>
      <c r="M67" s="305" t="s">
        <v>148</v>
      </c>
      <c r="N67" s="290" t="str">
        <f>IF(NOT(ISERROR(MATCH(M67,'[2]Tabla Impacto'!$B$221:$B$223,0))),'[2]Tabla Impacto'!$F$223&amp;"Por favor no seleccionar los criterios de impacto(Afectación Económica o presupuestal y Pérdida Reputacional)",M67)</f>
        <v xml:space="preserve">     El riesgo afecta la imagen de la entidad con algunos usuarios de relevancia frente al logro de los objetivos</v>
      </c>
      <c r="O67" s="287" t="str">
        <f>IF(OR(N67='[2]Tabla Impacto'!$C$11,N67='[2]Tabla Impacto'!$D$11),"Leve",IF(OR(N67='[2]Tabla Impacto'!$C$12,N67='[2]Tabla Impacto'!$D$12),"Menor",IF(OR(N67='[2]Tabla Impacto'!$C$13,N67='[2]Tabla Impacto'!$D$13),"Moderado",IF(OR(N67='[2]Tabla Impacto'!$C$14,N67='[2]Tabla Impacto'!$D$14),"Mayor",IF(OR(N67='[2]Tabla Impacto'!$C$15,N67='[2]Tabla Impacto'!$D$15),"Catastrófico","")))))</f>
        <v>Moderado</v>
      </c>
      <c r="P67" s="290">
        <f>IF(O67="","",IF(O67="Leve",0.2,IF(O67="Menor",0.4,IF(O67="Moderado",0.6,IF(O67="Mayor",0.8,IF(O67="Catastrófico",1,))))))</f>
        <v>0.6</v>
      </c>
      <c r="Q67" s="283" t="str">
        <f>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Moderado</v>
      </c>
      <c r="R67" s="163">
        <v>1</v>
      </c>
      <c r="S67" s="197" t="s">
        <v>400</v>
      </c>
      <c r="T67" s="164" t="str">
        <f>IF(OR(U67="Preventivo",U67="Detectivo"),"Probabilidad",IF(U67="Correctivo","Impacto",""))</f>
        <v>Probabilidad</v>
      </c>
      <c r="U67" s="165" t="s">
        <v>13</v>
      </c>
      <c r="V67" s="165" t="s">
        <v>8</v>
      </c>
      <c r="W67" s="166" t="str">
        <f>IF(AND(U67="Preventivo",V67="Automático"),"50%",IF(AND(U67="Preventivo",V67="Manual"),"40%",IF(AND(U67="Detectivo",V67="Automático"),"40%",IF(AND(U67="Detectivo",V67="Manual"),"30%",IF(AND(U67="Correctivo",V67="Automático"),"35%",IF(AND(U67="Correctivo",V67="Manual"),"25%",""))))))</f>
        <v>40%</v>
      </c>
      <c r="X67" s="165" t="s">
        <v>18</v>
      </c>
      <c r="Y67" s="165" t="s">
        <v>21</v>
      </c>
      <c r="Z67" s="165" t="s">
        <v>116</v>
      </c>
      <c r="AA67" s="167">
        <f>IFERROR(IF(T67="Probabilidad",(L67-(+L67*W67)),IF(T67="Impacto",L67,"")),"")</f>
        <v>0.24</v>
      </c>
      <c r="AB67" s="168" t="str">
        <f>IFERROR(IF(AA67="","",IF(AA67&lt;=0.2,"Muy Baja",IF(AA67&lt;=0.4,"Baja",IF(AA67&lt;=0.6,"Media",IF(AA67&lt;=0.8,"Alta","Muy Alta"))))),"")</f>
        <v>Baja</v>
      </c>
      <c r="AC67" s="169">
        <f>+AA67</f>
        <v>0.24</v>
      </c>
      <c r="AD67" s="179" t="str">
        <f>IFERROR(IF(AE67="","",IF(AE67&lt;=0.2,"Leve",IF(AE67&lt;=0.4,"Menor",IF(AE67&lt;=0.6,"Moderado",IF(AE67&lt;=0.8,"Mayor","Catastrófico"))))),"")</f>
        <v>Moderado</v>
      </c>
      <c r="AE67" s="169">
        <f>IFERROR(IF(T67="Impacto",(P67-(+P67*W67)),IF(T67="Probabilidad",P67,"")),"")</f>
        <v>0.6</v>
      </c>
      <c r="AF67" s="180" t="str">
        <f>IFERROR(IF(OR(AND(AB67="Muy Baja",AD67="Leve"),AND(AB67="Muy Baja",AD67="Menor"),AND(AB67="Baja",AD67="Leve")),"Bajo",IF(OR(AND(AB67="Muy baja",AD67="Moderado"),AND(AB67="Baja",AD67="Menor"),AND(AB67="Baja",AD67="Moderado"),AND(AB67="Media",AD67="Leve"),AND(AB67="Media",AD67="Menor"),AND(AB67="Media",AD67="Moderado"),AND(AB67="Alta",AD67="Leve"),AND(AB67="Alta",AD67="Menor")),"Moderado",IF(OR(AND(AB67="Muy Baja",AD67="Mayor"),AND(AB67="Baja",AD67="Mayor"),AND(AB67="Media",AD67="Mayor"),AND(AB67="Alta",AD67="Moderado"),AND(AB67="Alta",AD67="Mayor"),AND(AB67="Muy Alta",AD67="Leve"),AND(AB67="Muy Alta",AD67="Menor"),AND(AB67="Muy Alta",AD67="Moderado"),AND(AB67="Muy Alta",AD67="Mayor")),"Alto",IF(OR(AND(AB67="Muy Baja",AD67="Catastrófico"),AND(AB67="Baja",AD67="Catastrófico"),AND(AB67="Media",AD67="Catastrófico"),AND(AB67="Alta",AD67="Catastrófico"),AND(AB67="Muy Alta",AD67="Catastrófico")),"Extremo","")))),"")</f>
        <v>Moderado</v>
      </c>
      <c r="AG67" s="171" t="s">
        <v>131</v>
      </c>
      <c r="AH67" s="206" t="s">
        <v>401</v>
      </c>
      <c r="AI67" s="206" t="s">
        <v>306</v>
      </c>
      <c r="AJ67" s="206" t="s">
        <v>307</v>
      </c>
      <c r="AK67" s="206" t="s">
        <v>343</v>
      </c>
      <c r="AL67" s="206" t="s">
        <v>343</v>
      </c>
      <c r="AM67" s="206" t="s">
        <v>343</v>
      </c>
      <c r="AN67" s="206" t="s">
        <v>343</v>
      </c>
      <c r="AO67" s="206" t="s">
        <v>343</v>
      </c>
      <c r="AP67" s="206" t="s">
        <v>343</v>
      </c>
      <c r="AQ67" s="207" t="s">
        <v>39</v>
      </c>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row>
    <row r="68" spans="1:75" ht="35.1" customHeight="1" x14ac:dyDescent="0.3">
      <c r="A68" s="313"/>
      <c r="B68" s="293"/>
      <c r="C68" s="293"/>
      <c r="D68" s="293"/>
      <c r="E68" s="293"/>
      <c r="F68" s="184" t="s">
        <v>402</v>
      </c>
      <c r="G68" s="293"/>
      <c r="H68" s="153"/>
      <c r="I68" s="293"/>
      <c r="J68" s="295"/>
      <c r="K68" s="288"/>
      <c r="L68" s="291"/>
      <c r="M68" s="303"/>
      <c r="N68" s="291">
        <f t="shared" ref="N68:N72" si="52">IF(NOT(ISERROR(MATCH(M68,_xlfn.ANCHORARRAY(H79),0))),L81&amp;"Por favor no seleccionar los criterios de impacto",M68)</f>
        <v>0</v>
      </c>
      <c r="O68" s="288"/>
      <c r="P68" s="291"/>
      <c r="Q68" s="284"/>
      <c r="R68" s="163">
        <v>2</v>
      </c>
      <c r="S68" s="211" t="s">
        <v>403</v>
      </c>
      <c r="T68" s="164" t="str">
        <f>IF(OR(U68="Preventivo",U68="Detectivo"),"Probabilidad",IF(U68="Correctivo","Impacto",""))</f>
        <v>Probabilidad</v>
      </c>
      <c r="U68" s="165" t="s">
        <v>14</v>
      </c>
      <c r="V68" s="165" t="s">
        <v>8</v>
      </c>
      <c r="W68" s="166" t="str">
        <f t="shared" ref="W68:W72" si="53">IF(AND(U68="Preventivo",V68="Automático"),"50%",IF(AND(U68="Preventivo",V68="Manual"),"40%",IF(AND(U68="Detectivo",V68="Automático"),"40%",IF(AND(U68="Detectivo",V68="Manual"),"30%",IF(AND(U68="Correctivo",V68="Automático"),"35%",IF(AND(U68="Correctivo",V68="Manual"),"25%",""))))))</f>
        <v>30%</v>
      </c>
      <c r="X68" s="165" t="s">
        <v>18</v>
      </c>
      <c r="Y68" s="165" t="s">
        <v>22</v>
      </c>
      <c r="Z68" s="165" t="s">
        <v>116</v>
      </c>
      <c r="AA68" s="167">
        <f>IFERROR(IF(AND(T67="Probabilidad",T68="Probabilidad"),(AC67-(+AC67*W68)),IF(T68="Probabilidad",(L67-(+L67*W68)),IF(T68="Impacto",AC67,""))),"")</f>
        <v>0.16799999999999998</v>
      </c>
      <c r="AB68" s="168" t="str">
        <f t="shared" si="30"/>
        <v>Muy Baja</v>
      </c>
      <c r="AC68" s="169">
        <f t="shared" ref="AC68:AC72" si="54">+AA68</f>
        <v>0.16799999999999998</v>
      </c>
      <c r="AD68" s="179" t="str">
        <f t="shared" si="32"/>
        <v>Moderado</v>
      </c>
      <c r="AE68" s="169">
        <f>IFERROR(IF(AND(T67="Impacto",T68="Impacto"),(AE67-(+AE67*W68)),IF(T68="Impacto",(P67-(+P67*W68)),IF(T68="Probabilidad",AE67,""))),"")</f>
        <v>0.6</v>
      </c>
      <c r="AF68" s="180" t="str">
        <f t="shared" ref="AF68:AF69" si="55">IFERROR(IF(OR(AND(AB68="Muy Baja",AD68="Leve"),AND(AB68="Muy Baja",AD68="Menor"),AND(AB68="Baja",AD68="Leve")),"Bajo",IF(OR(AND(AB68="Muy baja",AD68="Moderado"),AND(AB68="Baja",AD68="Menor"),AND(AB68="Baja",AD68="Moderado"),AND(AB68="Media",AD68="Leve"),AND(AB68="Media",AD68="Menor"),AND(AB68="Media",AD68="Moderado"),AND(AB68="Alta",AD68="Leve"),AND(AB68="Alta",AD68="Menor")),"Moderado",IF(OR(AND(AB68="Muy Baja",AD68="Mayor"),AND(AB68="Baja",AD68="Mayor"),AND(AB68="Media",AD68="Mayor"),AND(AB68="Alta",AD68="Moderado"),AND(AB68="Alta",AD68="Mayor"),AND(AB68="Muy Alta",AD68="Leve"),AND(AB68="Muy Alta",AD68="Menor"),AND(AB68="Muy Alta",AD68="Moderado"),AND(AB68="Muy Alta",AD68="Mayor")),"Alto",IF(OR(AND(AB68="Muy Baja",AD68="Catastrófico"),AND(AB68="Baja",AD68="Catastrófico"),AND(AB68="Media",AD68="Catastrófico"),AND(AB68="Alta",AD68="Catastrófico"),AND(AB68="Muy Alta",AD68="Catastrófico")),"Extremo","")))),"")</f>
        <v>Moderado</v>
      </c>
      <c r="AG68" s="171" t="s">
        <v>131</v>
      </c>
      <c r="AH68" s="206" t="s">
        <v>404</v>
      </c>
      <c r="AI68" s="206" t="s">
        <v>306</v>
      </c>
      <c r="AJ68" s="206" t="s">
        <v>307</v>
      </c>
      <c r="AK68" s="206" t="s">
        <v>343</v>
      </c>
      <c r="AL68" s="206" t="s">
        <v>343</v>
      </c>
      <c r="AM68" s="206" t="s">
        <v>343</v>
      </c>
      <c r="AN68" s="206" t="s">
        <v>343</v>
      </c>
      <c r="AO68" s="206" t="s">
        <v>343</v>
      </c>
      <c r="AP68" s="206" t="s">
        <v>343</v>
      </c>
      <c r="AQ68" s="207" t="s">
        <v>39</v>
      </c>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row>
    <row r="69" spans="1:75" ht="35.1" customHeight="1" x14ac:dyDescent="0.3">
      <c r="A69" s="313"/>
      <c r="B69" s="293"/>
      <c r="C69" s="293"/>
      <c r="D69" s="293"/>
      <c r="E69" s="293"/>
      <c r="F69" s="152"/>
      <c r="G69" s="293"/>
      <c r="H69" s="153"/>
      <c r="I69" s="293"/>
      <c r="J69" s="295"/>
      <c r="K69" s="288"/>
      <c r="L69" s="291"/>
      <c r="M69" s="303"/>
      <c r="N69" s="291">
        <f t="shared" si="52"/>
        <v>0</v>
      </c>
      <c r="O69" s="288"/>
      <c r="P69" s="291"/>
      <c r="Q69" s="284"/>
      <c r="R69" s="163">
        <v>3</v>
      </c>
      <c r="S69" s="174"/>
      <c r="T69" s="164" t="str">
        <f>IF(OR(U69="Preventivo",U69="Detectivo"),"Probabilidad",IF(U69="Correctivo","Impacto",""))</f>
        <v/>
      </c>
      <c r="U69" s="178"/>
      <c r="V69" s="178"/>
      <c r="W69" s="166" t="str">
        <f t="shared" si="53"/>
        <v/>
      </c>
      <c r="X69" s="178"/>
      <c r="Y69" s="178"/>
      <c r="Z69" s="178"/>
      <c r="AA69" s="167" t="str">
        <f>IFERROR(IF(AND(T68="Probabilidad",T69="Probabilidad"),(AC68-(+AC68*W69)),IF(AND(T68="Impacto",T69="Probabilidad"),(AC67-(+AC67*W69)),IF(T69="Impacto",AC68,""))),"")</f>
        <v/>
      </c>
      <c r="AB69" s="179" t="str">
        <f t="shared" si="30"/>
        <v/>
      </c>
      <c r="AC69" s="169" t="str">
        <f t="shared" si="54"/>
        <v/>
      </c>
      <c r="AD69" s="179" t="str">
        <f t="shared" si="32"/>
        <v/>
      </c>
      <c r="AE69" s="169" t="str">
        <f>IFERROR(IF(AND(T68="Impacto",T69="Impacto"),(AE68-(+AE68*W69)),IF(AND(T68="Probabilidad",T69="Impacto"),(AE67-(+AE67*W69)),IF(T69="Probabilidad",AE68,""))),"")</f>
        <v/>
      </c>
      <c r="AF69" s="180" t="str">
        <f t="shared" si="55"/>
        <v/>
      </c>
      <c r="AG69" s="171"/>
      <c r="AH69" s="206"/>
      <c r="AI69" s="206"/>
      <c r="AJ69" s="206"/>
      <c r="AK69" s="206"/>
      <c r="AL69" s="206"/>
      <c r="AM69" s="207"/>
      <c r="AN69" s="209"/>
      <c r="AO69" s="209"/>
      <c r="AP69" s="206"/>
      <c r="AQ69" s="207"/>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row>
    <row r="70" spans="1:75" ht="35.1" customHeight="1" x14ac:dyDescent="0.3">
      <c r="A70" s="313"/>
      <c r="B70" s="293"/>
      <c r="C70" s="293"/>
      <c r="D70" s="293"/>
      <c r="E70" s="293"/>
      <c r="F70" s="152"/>
      <c r="G70" s="293"/>
      <c r="H70" s="153"/>
      <c r="I70" s="293"/>
      <c r="J70" s="295"/>
      <c r="K70" s="288"/>
      <c r="L70" s="291"/>
      <c r="M70" s="303"/>
      <c r="N70" s="291">
        <f t="shared" si="52"/>
        <v>0</v>
      </c>
      <c r="O70" s="288"/>
      <c r="P70" s="291"/>
      <c r="Q70" s="284"/>
      <c r="R70" s="163">
        <v>4</v>
      </c>
      <c r="S70" s="208"/>
      <c r="T70" s="164" t="str">
        <f t="shared" ref="T70:T72" si="56">IF(OR(U70="Preventivo",U70="Detectivo"),"Probabilidad",IF(U70="Correctivo","Impacto",""))</f>
        <v/>
      </c>
      <c r="U70" s="178"/>
      <c r="V70" s="178"/>
      <c r="W70" s="166" t="str">
        <f t="shared" si="53"/>
        <v/>
      </c>
      <c r="X70" s="178"/>
      <c r="Y70" s="178"/>
      <c r="Z70" s="178"/>
      <c r="AA70" s="167" t="str">
        <f>IFERROR(IF(AND(T69="Probabilidad",T70="Probabilidad"),(AC69-(+AC69*W70)),IF(AND(T69="Impacto",T70="Probabilidad"),(AC68-(+AC68*W70)),IF(T70="Impacto",AC69,""))),"")</f>
        <v/>
      </c>
      <c r="AB70" s="179" t="str">
        <f t="shared" si="30"/>
        <v/>
      </c>
      <c r="AC70" s="169" t="str">
        <f t="shared" si="54"/>
        <v/>
      </c>
      <c r="AD70" s="179" t="str">
        <f t="shared" si="32"/>
        <v/>
      </c>
      <c r="AE70" s="169" t="str">
        <f>IFERROR(IF(AND(T69="Impacto",T70="Impacto"),(AE69-(+AE69*W70)),IF(AND(T69="Probabilidad",T70="Impacto"),(AE68-(+AE68*W70)),IF(T70="Probabilidad",AE69,""))),"")</f>
        <v/>
      </c>
      <c r="AF70" s="180" t="str">
        <f>IFERROR(IF(OR(AND(AB70="Muy Baja",AD70="Leve"),AND(AB70="Muy Baja",AD70="Menor"),AND(AB70="Baja",AD70="Leve")),"Bajo",IF(OR(AND(AB70="Muy baja",AD70="Moderado"),AND(AB70="Baja",AD70="Menor"),AND(AB70="Baja",AD70="Moderado"),AND(AB70="Media",AD70="Leve"),AND(AB70="Media",AD70="Menor"),AND(AB70="Media",AD70="Moderado"),AND(AB70="Alta",AD70="Leve"),AND(AB70="Alta",AD70="Menor")),"Moderado",IF(OR(AND(AB70="Muy Baja",AD70="Mayor"),AND(AB70="Baja",AD70="Mayor"),AND(AB70="Media",AD70="Mayor"),AND(AB70="Alta",AD70="Moderado"),AND(AB70="Alta",AD70="Mayor"),AND(AB70="Muy Alta",AD70="Leve"),AND(AB70="Muy Alta",AD70="Menor"),AND(AB70="Muy Alta",AD70="Moderado"),AND(AB70="Muy Alta",AD70="Mayor")),"Alto",IF(OR(AND(AB70="Muy Baja",AD70="Catastrófico"),AND(AB70="Baja",AD70="Catastrófico"),AND(AB70="Media",AD70="Catastrófico"),AND(AB70="Alta",AD70="Catastrófico"),AND(AB70="Muy Alta",AD70="Catastrófico")),"Extremo","")))),"")</f>
        <v/>
      </c>
      <c r="AG70" s="171"/>
      <c r="AH70" s="206"/>
      <c r="AI70" s="206"/>
      <c r="AJ70" s="206"/>
      <c r="AK70" s="206"/>
      <c r="AL70" s="206"/>
      <c r="AM70" s="207"/>
      <c r="AN70" s="209"/>
      <c r="AO70" s="209"/>
      <c r="AP70" s="206"/>
      <c r="AQ70" s="207"/>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row>
    <row r="71" spans="1:75" ht="35.1" customHeight="1" x14ac:dyDescent="0.3">
      <c r="A71" s="313"/>
      <c r="B71" s="293"/>
      <c r="C71" s="293"/>
      <c r="D71" s="293"/>
      <c r="E71" s="293"/>
      <c r="F71" s="152"/>
      <c r="G71" s="293"/>
      <c r="H71" s="153"/>
      <c r="I71" s="293"/>
      <c r="J71" s="295"/>
      <c r="K71" s="288"/>
      <c r="L71" s="291"/>
      <c r="M71" s="303"/>
      <c r="N71" s="291">
        <f t="shared" si="52"/>
        <v>0</v>
      </c>
      <c r="O71" s="288"/>
      <c r="P71" s="291"/>
      <c r="Q71" s="284"/>
      <c r="R71" s="163">
        <v>5</v>
      </c>
      <c r="S71" s="208"/>
      <c r="T71" s="164" t="str">
        <f t="shared" si="56"/>
        <v/>
      </c>
      <c r="U71" s="178"/>
      <c r="V71" s="178"/>
      <c r="W71" s="166" t="str">
        <f t="shared" si="53"/>
        <v/>
      </c>
      <c r="X71" s="178"/>
      <c r="Y71" s="178"/>
      <c r="Z71" s="178"/>
      <c r="AA71" s="167" t="str">
        <f>IFERROR(IF(AND(T70="Probabilidad",T71="Probabilidad"),(AC70-(+AC70*W71)),IF(AND(T70="Impacto",T71="Probabilidad"),(AC69-(+AC69*W71)),IF(T71="Impacto",AC70,""))),"")</f>
        <v/>
      </c>
      <c r="AB71" s="179" t="str">
        <f t="shared" si="30"/>
        <v/>
      </c>
      <c r="AC71" s="169" t="str">
        <f t="shared" si="54"/>
        <v/>
      </c>
      <c r="AD71" s="179" t="str">
        <f t="shared" si="32"/>
        <v/>
      </c>
      <c r="AE71" s="169" t="str">
        <f>IFERROR(IF(AND(T70="Impacto",T71="Impacto"),(AE70-(+AE70*W71)),IF(AND(T70="Probabilidad",T71="Impacto"),(AE69-(+AE69*W71)),IF(T71="Probabilidad",AE70,""))),"")</f>
        <v/>
      </c>
      <c r="AF71" s="180" t="str">
        <f t="shared" ref="AF71:AF72" si="57">IFERROR(IF(OR(AND(AB71="Muy Baja",AD71="Leve"),AND(AB71="Muy Baja",AD71="Menor"),AND(AB71="Baja",AD71="Leve")),"Bajo",IF(OR(AND(AB71="Muy baja",AD71="Moderado"),AND(AB71="Baja",AD71="Menor"),AND(AB71="Baja",AD71="Moderado"),AND(AB71="Media",AD71="Leve"),AND(AB71="Media",AD71="Menor"),AND(AB71="Media",AD71="Moderado"),AND(AB71="Alta",AD71="Leve"),AND(AB71="Alta",AD71="Menor")),"Moderado",IF(OR(AND(AB71="Muy Baja",AD71="Mayor"),AND(AB71="Baja",AD71="Mayor"),AND(AB71="Media",AD71="Mayor"),AND(AB71="Alta",AD71="Moderado"),AND(AB71="Alta",AD71="Mayor"),AND(AB71="Muy Alta",AD71="Leve"),AND(AB71="Muy Alta",AD71="Menor"),AND(AB71="Muy Alta",AD71="Moderado"),AND(AB71="Muy Alta",AD71="Mayor")),"Alto",IF(OR(AND(AB71="Muy Baja",AD71="Catastrófico"),AND(AB71="Baja",AD71="Catastrófico"),AND(AB71="Media",AD71="Catastrófico"),AND(AB71="Alta",AD71="Catastrófico"),AND(AB71="Muy Alta",AD71="Catastrófico")),"Extremo","")))),"")</f>
        <v/>
      </c>
      <c r="AG71" s="171"/>
      <c r="AH71" s="206"/>
      <c r="AI71" s="206"/>
      <c r="AJ71" s="206"/>
      <c r="AK71" s="206"/>
      <c r="AL71" s="206"/>
      <c r="AM71" s="207"/>
      <c r="AN71" s="209"/>
      <c r="AO71" s="209"/>
      <c r="AP71" s="206"/>
      <c r="AQ71" s="207"/>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row>
    <row r="72" spans="1:75" ht="35.1" customHeight="1" x14ac:dyDescent="0.3">
      <c r="A72" s="314"/>
      <c r="B72" s="294"/>
      <c r="C72" s="294"/>
      <c r="D72" s="294"/>
      <c r="E72" s="294"/>
      <c r="F72" s="162"/>
      <c r="G72" s="294"/>
      <c r="H72" s="175"/>
      <c r="I72" s="294"/>
      <c r="J72" s="296"/>
      <c r="K72" s="289"/>
      <c r="L72" s="292"/>
      <c r="M72" s="304"/>
      <c r="N72" s="292">
        <f t="shared" si="52"/>
        <v>0</v>
      </c>
      <c r="O72" s="289"/>
      <c r="P72" s="292"/>
      <c r="Q72" s="285"/>
      <c r="R72" s="163">
        <v>6</v>
      </c>
      <c r="S72" s="208"/>
      <c r="T72" s="164" t="str">
        <f t="shared" si="56"/>
        <v/>
      </c>
      <c r="U72" s="178"/>
      <c r="V72" s="178"/>
      <c r="W72" s="166" t="str">
        <f t="shared" si="53"/>
        <v/>
      </c>
      <c r="X72" s="178"/>
      <c r="Y72" s="178"/>
      <c r="Z72" s="178"/>
      <c r="AA72" s="167" t="str">
        <f>IFERROR(IF(AND(T71="Probabilidad",T72="Probabilidad"),(AC71-(+AC71*W72)),IF(AND(T71="Impacto",T72="Probabilidad"),(AC70-(+AC70*W72)),IF(T72="Impacto",AC71,""))),"")</f>
        <v/>
      </c>
      <c r="AB72" s="179" t="str">
        <f t="shared" si="30"/>
        <v/>
      </c>
      <c r="AC72" s="169" t="str">
        <f t="shared" si="54"/>
        <v/>
      </c>
      <c r="AD72" s="179" t="str">
        <f t="shared" si="32"/>
        <v/>
      </c>
      <c r="AE72" s="169" t="str">
        <f>IFERROR(IF(AND(T71="Impacto",T72="Impacto"),(AE71-(+AE71*W72)),IF(AND(T71="Probabilidad",T72="Impacto"),(AE70-(+AE70*W72)),IF(T72="Probabilidad",AE71,""))),"")</f>
        <v/>
      </c>
      <c r="AF72" s="180" t="str">
        <f t="shared" si="57"/>
        <v/>
      </c>
      <c r="AG72" s="171"/>
      <c r="AH72" s="206"/>
      <c r="AI72" s="206"/>
      <c r="AJ72" s="206"/>
      <c r="AK72" s="206"/>
      <c r="AL72" s="206"/>
      <c r="AM72" s="207"/>
      <c r="AN72" s="209"/>
      <c r="AO72" s="209"/>
      <c r="AP72" s="206"/>
      <c r="AQ72" s="207"/>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row>
    <row r="73" spans="1:75" ht="35.1" customHeight="1" x14ac:dyDescent="0.3">
      <c r="A73" s="312">
        <v>6</v>
      </c>
      <c r="B73" s="311" t="s">
        <v>127</v>
      </c>
      <c r="C73" s="311" t="s">
        <v>242</v>
      </c>
      <c r="D73" s="320" t="s">
        <v>248</v>
      </c>
      <c r="E73" s="320" t="s">
        <v>279</v>
      </c>
      <c r="F73" s="201" t="s">
        <v>405</v>
      </c>
      <c r="G73" s="320" t="s">
        <v>406</v>
      </c>
      <c r="H73" s="187" t="s">
        <v>407</v>
      </c>
      <c r="I73" s="311" t="s">
        <v>120</v>
      </c>
      <c r="J73" s="308">
        <v>1</v>
      </c>
      <c r="K73" s="287" t="str">
        <f>IF(J73&lt;=0,"",IF(J73&lt;=2,"Muy Baja",IF(J73&lt;=24,"Baja",IF(J73&lt;=500,"Media",IF(J73&lt;=5000,"Alta","Muy Alta")))))</f>
        <v>Muy Baja</v>
      </c>
      <c r="L73" s="290">
        <f>IF(K73="","",IF(K73="Muy Baja",0.2,IF(K73="Baja",0.4,IF(K73="Media",0.6,IF(K73="Alta",0.8,IF(K73="Muy Alta",1,))))))</f>
        <v>0.2</v>
      </c>
      <c r="M73" s="305" t="s">
        <v>149</v>
      </c>
      <c r="N73" s="290" t="str">
        <f>IF(NOT(ISERROR(MATCH(M73,'[2]Tabla Impacto'!$B$221:$B$223,0))),'[2]Tabla Impacto'!$F$223&amp;"Por favor no seleccionar los criterios de impacto(Afectación Económica o presupuestal y Pérdida Reputacional)",M73)</f>
        <v xml:space="preserve">     El riesgo afecta la imagen de de la entidad con efecto publicitario sostenido a nivel de sector administrativo, nivel departamental o municipal</v>
      </c>
      <c r="O73" s="287" t="str">
        <f>IF(OR(N73='[2]Tabla Impacto'!$C$11,N73='[2]Tabla Impacto'!$D$11),"Leve",IF(OR(N73='[2]Tabla Impacto'!$C$12,N73='[2]Tabla Impacto'!$D$12),"Menor",IF(OR(N73='[2]Tabla Impacto'!$C$13,N73='[2]Tabla Impacto'!$D$13),"Moderado",IF(OR(N73='[2]Tabla Impacto'!$C$14,N73='[2]Tabla Impacto'!$D$14),"Mayor",IF(OR(N73='[2]Tabla Impacto'!$C$15,N73='[2]Tabla Impacto'!$D$15),"Catastrófico","")))))</f>
        <v>Mayor</v>
      </c>
      <c r="P73" s="290">
        <f>IF(O73="","",IF(O73="Leve",0.2,IF(O73="Menor",0.4,IF(O73="Moderado",0.6,IF(O73="Mayor",0.8,IF(O73="Catastrófico",1,))))))</f>
        <v>0.8</v>
      </c>
      <c r="Q73" s="283" t="str">
        <f>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Alto</v>
      </c>
      <c r="R73" s="163">
        <v>1</v>
      </c>
      <c r="S73" s="197" t="s">
        <v>408</v>
      </c>
      <c r="T73" s="164" t="str">
        <f>IF(OR(U73="Preventivo",U73="Detectivo"),"Probabilidad",IF(U73="Correctivo","Impacto",""))</f>
        <v>Probabilidad</v>
      </c>
      <c r="U73" s="165" t="s">
        <v>14</v>
      </c>
      <c r="V73" s="165" t="s">
        <v>8</v>
      </c>
      <c r="W73" s="166" t="str">
        <f>IF(AND(U73="Preventivo",V73="Automático"),"50%",IF(AND(U73="Preventivo",V73="Manual"),"40%",IF(AND(U73="Detectivo",V73="Automático"),"40%",IF(AND(U73="Detectivo",V73="Manual"),"30%",IF(AND(U73="Correctivo",V73="Automático"),"35%",IF(AND(U73="Correctivo",V73="Manual"),"25%",""))))))</f>
        <v>30%</v>
      </c>
      <c r="X73" s="165" t="s">
        <v>18</v>
      </c>
      <c r="Y73" s="165" t="s">
        <v>21</v>
      </c>
      <c r="Z73" s="165" t="s">
        <v>116</v>
      </c>
      <c r="AA73" s="167">
        <f>IFERROR(IF(T73="Probabilidad",(L73-(+L73*W73)),IF(T73="Impacto",L73,"")),"")</f>
        <v>0.14000000000000001</v>
      </c>
      <c r="AB73" s="168" t="str">
        <f>IFERROR(IF(AA73="","",IF(AA73&lt;=0.2,"Muy Baja",IF(AA73&lt;=0.4,"Baja",IF(AA73&lt;=0.6,"Media",IF(AA73&lt;=0.8,"Alta","Muy Alta"))))),"")</f>
        <v>Muy Baja</v>
      </c>
      <c r="AC73" s="169">
        <f>+AA73</f>
        <v>0.14000000000000001</v>
      </c>
      <c r="AD73" s="179" t="str">
        <f>IFERROR(IF(AE73="","",IF(AE73&lt;=0.2,"Leve",IF(AE73&lt;=0.4,"Menor",IF(AE73&lt;=0.6,"Moderado",IF(AE73&lt;=0.8,"Mayor","Catastrófico"))))),"")</f>
        <v>Mayor</v>
      </c>
      <c r="AE73" s="169">
        <f>IFERROR(IF(T73="Impacto",(P73-(+P73*W73)),IF(T73="Probabilidad",P73,"")),"")</f>
        <v>0.8</v>
      </c>
      <c r="AF73" s="180" t="str">
        <f>IFERROR(IF(OR(AND(AB73="Muy Baja",AD73="Leve"),AND(AB73="Muy Baja",AD73="Menor"),AND(AB73="Baja",AD73="Leve")),"Bajo",IF(OR(AND(AB73="Muy baja",AD73="Moderado"),AND(AB73="Baja",AD73="Menor"),AND(AB73="Baja",AD73="Moderado"),AND(AB73="Media",AD73="Leve"),AND(AB73="Media",AD73="Menor"),AND(AB73="Media",AD73="Moderado"),AND(AB73="Alta",AD73="Leve"),AND(AB73="Alta",AD73="Menor")),"Moderado",IF(OR(AND(AB73="Muy Baja",AD73="Mayor"),AND(AB73="Baja",AD73="Mayor"),AND(AB73="Media",AD73="Mayor"),AND(AB73="Alta",AD73="Moderado"),AND(AB73="Alta",AD73="Mayor"),AND(AB73="Muy Alta",AD73="Leve"),AND(AB73="Muy Alta",AD73="Menor"),AND(AB73="Muy Alta",AD73="Moderado"),AND(AB73="Muy Alta",AD73="Mayor")),"Alto",IF(OR(AND(AB73="Muy Baja",AD73="Catastrófico"),AND(AB73="Baja",AD73="Catastrófico"),AND(AB73="Media",AD73="Catastrófico"),AND(AB73="Alta",AD73="Catastrófico"),AND(AB73="Muy Alta",AD73="Catastrófico")),"Extremo","")))),"")</f>
        <v>Alto</v>
      </c>
      <c r="AG73" s="171" t="s">
        <v>131</v>
      </c>
      <c r="AH73" s="206" t="s">
        <v>409</v>
      </c>
      <c r="AI73" s="206" t="s">
        <v>306</v>
      </c>
      <c r="AJ73" s="206" t="s">
        <v>307</v>
      </c>
      <c r="AK73" s="206" t="s">
        <v>343</v>
      </c>
      <c r="AL73" s="206" t="s">
        <v>343</v>
      </c>
      <c r="AM73" s="206" t="s">
        <v>343</v>
      </c>
      <c r="AN73" s="206" t="s">
        <v>343</v>
      </c>
      <c r="AO73" s="206" t="s">
        <v>343</v>
      </c>
      <c r="AP73" s="206" t="s">
        <v>343</v>
      </c>
      <c r="AQ73" s="207" t="s">
        <v>39</v>
      </c>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row>
    <row r="74" spans="1:75" ht="35.1" customHeight="1" x14ac:dyDescent="0.3">
      <c r="A74" s="313"/>
      <c r="B74" s="293"/>
      <c r="C74" s="293"/>
      <c r="D74" s="293"/>
      <c r="E74" s="293"/>
      <c r="F74" s="152"/>
      <c r="G74" s="293"/>
      <c r="H74" s="196" t="s">
        <v>410</v>
      </c>
      <c r="I74" s="293"/>
      <c r="J74" s="295"/>
      <c r="K74" s="288"/>
      <c r="L74" s="291"/>
      <c r="M74" s="303"/>
      <c r="N74" s="291">
        <f t="shared" ref="N74:N78" si="58">IF(NOT(ISERROR(MATCH(M74,_xlfn.ANCHORARRAY(H85),0))),L87&amp;"Por favor no seleccionar los criterios de impacto",M74)</f>
        <v>0</v>
      </c>
      <c r="O74" s="288"/>
      <c r="P74" s="291"/>
      <c r="Q74" s="284"/>
      <c r="R74" s="163">
        <v>2</v>
      </c>
      <c r="S74" s="197" t="s">
        <v>411</v>
      </c>
      <c r="T74" s="164" t="str">
        <f>IF(OR(U74="Preventivo",U74="Detectivo"),"Probabilidad",IF(U74="Correctivo","Impacto",""))</f>
        <v>Probabilidad</v>
      </c>
      <c r="U74" s="165" t="s">
        <v>14</v>
      </c>
      <c r="V74" s="165" t="s">
        <v>8</v>
      </c>
      <c r="W74" s="166" t="str">
        <f t="shared" ref="W74:W78" si="59">IF(AND(U74="Preventivo",V74="Automático"),"50%",IF(AND(U74="Preventivo",V74="Manual"),"40%",IF(AND(U74="Detectivo",V74="Automático"),"40%",IF(AND(U74="Detectivo",V74="Manual"),"30%",IF(AND(U74="Correctivo",V74="Automático"),"35%",IF(AND(U74="Correctivo",V74="Manual"),"25%",""))))))</f>
        <v>30%</v>
      </c>
      <c r="X74" s="165" t="s">
        <v>18</v>
      </c>
      <c r="Y74" s="165" t="s">
        <v>22</v>
      </c>
      <c r="Z74" s="165" t="s">
        <v>116</v>
      </c>
      <c r="AA74" s="167">
        <f>IFERROR(IF(AND(T73="Probabilidad",T74="Probabilidad"),(AC73-(+AC73*W74)),IF(T74="Probabilidad",(L73-(+L73*W74)),IF(T74="Impacto",AC73,""))),"")</f>
        <v>9.8000000000000004E-2</v>
      </c>
      <c r="AB74" s="168" t="str">
        <f t="shared" si="30"/>
        <v>Muy Baja</v>
      </c>
      <c r="AC74" s="169">
        <f t="shared" ref="AC74:AC78" si="60">+AA74</f>
        <v>9.8000000000000004E-2</v>
      </c>
      <c r="AD74" s="179" t="str">
        <f t="shared" si="32"/>
        <v>Mayor</v>
      </c>
      <c r="AE74" s="169">
        <f>IFERROR(IF(AND(T73="Impacto",T74="Impacto"),(AE73-(+AE73*W74)),IF(T74="Impacto",(P73-(+P73*W74)),IF(T74="Probabilidad",AE73,""))),"")</f>
        <v>0.8</v>
      </c>
      <c r="AF74" s="180" t="str">
        <f t="shared" ref="AF74:AF75" si="61">IFERROR(IF(OR(AND(AB74="Muy Baja",AD74="Leve"),AND(AB74="Muy Baja",AD74="Menor"),AND(AB74="Baja",AD74="Leve")),"Bajo",IF(OR(AND(AB74="Muy baja",AD74="Moderado"),AND(AB74="Baja",AD74="Menor"),AND(AB74="Baja",AD74="Moderado"),AND(AB74="Media",AD74="Leve"),AND(AB74="Media",AD74="Menor"),AND(AB74="Media",AD74="Moderado"),AND(AB74="Alta",AD74="Leve"),AND(AB74="Alta",AD74="Menor")),"Moderado",IF(OR(AND(AB74="Muy Baja",AD74="Mayor"),AND(AB74="Baja",AD74="Mayor"),AND(AB74="Media",AD74="Mayor"),AND(AB74="Alta",AD74="Moderado"),AND(AB74="Alta",AD74="Mayor"),AND(AB74="Muy Alta",AD74="Leve"),AND(AB74="Muy Alta",AD74="Menor"),AND(AB74="Muy Alta",AD74="Moderado"),AND(AB74="Muy Alta",AD74="Mayor")),"Alto",IF(OR(AND(AB74="Muy Baja",AD74="Catastrófico"),AND(AB74="Baja",AD74="Catastrófico"),AND(AB74="Media",AD74="Catastrófico"),AND(AB74="Alta",AD74="Catastrófico"),AND(AB74="Muy Alta",AD74="Catastrófico")),"Extremo","")))),"")</f>
        <v>Alto</v>
      </c>
      <c r="AG74" s="171" t="s">
        <v>131</v>
      </c>
      <c r="AH74" s="206" t="s">
        <v>412</v>
      </c>
      <c r="AI74" s="206" t="s">
        <v>306</v>
      </c>
      <c r="AJ74" s="206" t="s">
        <v>307</v>
      </c>
      <c r="AK74" s="206" t="s">
        <v>343</v>
      </c>
      <c r="AL74" s="206" t="s">
        <v>343</v>
      </c>
      <c r="AM74" s="206" t="s">
        <v>343</v>
      </c>
      <c r="AN74" s="206" t="s">
        <v>343</v>
      </c>
      <c r="AO74" s="206" t="s">
        <v>343</v>
      </c>
      <c r="AP74" s="206" t="s">
        <v>343</v>
      </c>
      <c r="AQ74" s="207" t="s">
        <v>39</v>
      </c>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row>
    <row r="75" spans="1:75" ht="35.1" customHeight="1" x14ac:dyDescent="0.3">
      <c r="A75" s="313"/>
      <c r="B75" s="293"/>
      <c r="C75" s="293"/>
      <c r="D75" s="293"/>
      <c r="E75" s="293"/>
      <c r="F75" s="152"/>
      <c r="G75" s="293"/>
      <c r="H75" s="153"/>
      <c r="I75" s="293"/>
      <c r="J75" s="295"/>
      <c r="K75" s="288"/>
      <c r="L75" s="291"/>
      <c r="M75" s="303"/>
      <c r="N75" s="291">
        <f t="shared" si="58"/>
        <v>0</v>
      </c>
      <c r="O75" s="288"/>
      <c r="P75" s="291"/>
      <c r="Q75" s="284"/>
      <c r="R75" s="163">
        <v>3</v>
      </c>
      <c r="S75" s="174"/>
      <c r="T75" s="164" t="str">
        <f>IF(OR(U75="Preventivo",U75="Detectivo"),"Probabilidad",IF(U75="Correctivo","Impacto",""))</f>
        <v/>
      </c>
      <c r="U75" s="178"/>
      <c r="V75" s="178"/>
      <c r="W75" s="166" t="str">
        <f t="shared" si="59"/>
        <v/>
      </c>
      <c r="X75" s="178"/>
      <c r="Y75" s="178"/>
      <c r="Z75" s="178"/>
      <c r="AA75" s="167" t="str">
        <f>IFERROR(IF(AND(T74="Probabilidad",T75="Probabilidad"),(AC74-(+AC74*W75)),IF(AND(T74="Impacto",T75="Probabilidad"),(AC73-(+AC73*W75)),IF(T75="Impacto",AC74,""))),"")</f>
        <v/>
      </c>
      <c r="AB75" s="179" t="str">
        <f t="shared" si="30"/>
        <v/>
      </c>
      <c r="AC75" s="169" t="str">
        <f t="shared" si="60"/>
        <v/>
      </c>
      <c r="AD75" s="179" t="str">
        <f t="shared" si="32"/>
        <v/>
      </c>
      <c r="AE75" s="169" t="str">
        <f>IFERROR(IF(AND(T74="Impacto",T75="Impacto"),(AE74-(+AE74*W75)),IF(AND(T74="Probabilidad",T75="Impacto"),(AE73-(+AE73*W75)),IF(T75="Probabilidad",AE74,""))),"")</f>
        <v/>
      </c>
      <c r="AF75" s="180" t="str">
        <f t="shared" si="61"/>
        <v/>
      </c>
      <c r="AG75" s="171"/>
      <c r="AH75" s="206"/>
      <c r="AI75" s="206"/>
      <c r="AJ75" s="206"/>
      <c r="AK75" s="206"/>
      <c r="AL75" s="206"/>
      <c r="AM75" s="207"/>
      <c r="AN75" s="209"/>
      <c r="AO75" s="209"/>
      <c r="AP75" s="206"/>
      <c r="AQ75" s="207"/>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row>
    <row r="76" spans="1:75" ht="35.1" customHeight="1" x14ac:dyDescent="0.3">
      <c r="A76" s="313"/>
      <c r="B76" s="293"/>
      <c r="C76" s="293"/>
      <c r="D76" s="293"/>
      <c r="E76" s="293"/>
      <c r="F76" s="152"/>
      <c r="G76" s="293"/>
      <c r="H76" s="153"/>
      <c r="I76" s="293"/>
      <c r="J76" s="295"/>
      <c r="K76" s="288"/>
      <c r="L76" s="291"/>
      <c r="M76" s="303"/>
      <c r="N76" s="291">
        <f t="shared" si="58"/>
        <v>0</v>
      </c>
      <c r="O76" s="288"/>
      <c r="P76" s="291"/>
      <c r="Q76" s="284"/>
      <c r="R76" s="163">
        <v>4</v>
      </c>
      <c r="S76" s="208"/>
      <c r="T76" s="164" t="str">
        <f t="shared" ref="T76:T78" si="62">IF(OR(U76="Preventivo",U76="Detectivo"),"Probabilidad",IF(U76="Correctivo","Impacto",""))</f>
        <v/>
      </c>
      <c r="U76" s="178"/>
      <c r="V76" s="178"/>
      <c r="W76" s="166" t="str">
        <f t="shared" si="59"/>
        <v/>
      </c>
      <c r="X76" s="178"/>
      <c r="Y76" s="178"/>
      <c r="Z76" s="178"/>
      <c r="AA76" s="167" t="str">
        <f>IFERROR(IF(AND(T75="Probabilidad",T76="Probabilidad"),(AC75-(+AC75*W76)),IF(AND(T75="Impacto",T76="Probabilidad"),(AC74-(+AC74*W76)),IF(T76="Impacto",AC75,""))),"")</f>
        <v/>
      </c>
      <c r="AB76" s="179" t="str">
        <f t="shared" si="30"/>
        <v/>
      </c>
      <c r="AC76" s="169" t="str">
        <f t="shared" si="60"/>
        <v/>
      </c>
      <c r="AD76" s="179" t="str">
        <f t="shared" si="32"/>
        <v/>
      </c>
      <c r="AE76" s="169" t="str">
        <f>IFERROR(IF(AND(T75="Impacto",T76="Impacto"),(AE75-(+AE75*W76)),IF(AND(T75="Probabilidad",T76="Impacto"),(AE74-(+AE74*W76)),IF(T76="Probabilidad",AE75,""))),"")</f>
        <v/>
      </c>
      <c r="AF76" s="180" t="str">
        <f>IFERROR(IF(OR(AND(AB76="Muy Baja",AD76="Leve"),AND(AB76="Muy Baja",AD76="Menor"),AND(AB76="Baja",AD76="Leve")),"Bajo",IF(OR(AND(AB76="Muy baja",AD76="Moderado"),AND(AB76="Baja",AD76="Menor"),AND(AB76="Baja",AD76="Moderado"),AND(AB76="Media",AD76="Leve"),AND(AB76="Media",AD76="Menor"),AND(AB76="Media",AD76="Moderado"),AND(AB76="Alta",AD76="Leve"),AND(AB76="Alta",AD76="Menor")),"Moderado",IF(OR(AND(AB76="Muy Baja",AD76="Mayor"),AND(AB76="Baja",AD76="Mayor"),AND(AB76="Media",AD76="Mayor"),AND(AB76="Alta",AD76="Moderado"),AND(AB76="Alta",AD76="Mayor"),AND(AB76="Muy Alta",AD76="Leve"),AND(AB76="Muy Alta",AD76="Menor"),AND(AB76="Muy Alta",AD76="Moderado"),AND(AB76="Muy Alta",AD76="Mayor")),"Alto",IF(OR(AND(AB76="Muy Baja",AD76="Catastrófico"),AND(AB76="Baja",AD76="Catastrófico"),AND(AB76="Media",AD76="Catastrófico"),AND(AB76="Alta",AD76="Catastrófico"),AND(AB76="Muy Alta",AD76="Catastrófico")),"Extremo","")))),"")</f>
        <v/>
      </c>
      <c r="AG76" s="171"/>
      <c r="AH76" s="206"/>
      <c r="AI76" s="206"/>
      <c r="AJ76" s="206"/>
      <c r="AK76" s="206"/>
      <c r="AL76" s="206"/>
      <c r="AM76" s="207"/>
      <c r="AN76" s="209"/>
      <c r="AO76" s="209"/>
      <c r="AP76" s="206"/>
      <c r="AQ76" s="207"/>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row>
    <row r="77" spans="1:75" ht="35.1" customHeight="1" x14ac:dyDescent="0.3">
      <c r="A77" s="313"/>
      <c r="B77" s="293"/>
      <c r="C77" s="293"/>
      <c r="D77" s="293"/>
      <c r="E77" s="293"/>
      <c r="F77" s="152"/>
      <c r="G77" s="293"/>
      <c r="H77" s="153"/>
      <c r="I77" s="293"/>
      <c r="J77" s="295"/>
      <c r="K77" s="288"/>
      <c r="L77" s="291"/>
      <c r="M77" s="303"/>
      <c r="N77" s="291">
        <f t="shared" si="58"/>
        <v>0</v>
      </c>
      <c r="O77" s="288"/>
      <c r="P77" s="291"/>
      <c r="Q77" s="284"/>
      <c r="R77" s="163">
        <v>5</v>
      </c>
      <c r="S77" s="208"/>
      <c r="T77" s="164" t="str">
        <f t="shared" si="62"/>
        <v/>
      </c>
      <c r="U77" s="178"/>
      <c r="V77" s="178"/>
      <c r="W77" s="166" t="str">
        <f t="shared" si="59"/>
        <v/>
      </c>
      <c r="X77" s="178"/>
      <c r="Y77" s="178"/>
      <c r="Z77" s="178"/>
      <c r="AA77" s="167" t="str">
        <f>IFERROR(IF(AND(T76="Probabilidad",T77="Probabilidad"),(AC76-(+AC76*W77)),IF(AND(T76="Impacto",T77="Probabilidad"),(AC75-(+AC75*W77)),IF(T77="Impacto",AC76,""))),"")</f>
        <v/>
      </c>
      <c r="AB77" s="179" t="str">
        <f t="shared" si="30"/>
        <v/>
      </c>
      <c r="AC77" s="169" t="str">
        <f t="shared" si="60"/>
        <v/>
      </c>
      <c r="AD77" s="179" t="str">
        <f t="shared" si="32"/>
        <v/>
      </c>
      <c r="AE77" s="169" t="str">
        <f>IFERROR(IF(AND(T76="Impacto",T77="Impacto"),(AE76-(+AE76*W77)),IF(AND(T76="Probabilidad",T77="Impacto"),(AE75-(+AE75*W77)),IF(T77="Probabilidad",AE76,""))),"")</f>
        <v/>
      </c>
      <c r="AF77" s="180" t="str">
        <f t="shared" ref="AF77" si="63">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
      </c>
      <c r="AG77" s="171"/>
      <c r="AH77" s="206"/>
      <c r="AI77" s="206"/>
      <c r="AJ77" s="206"/>
      <c r="AK77" s="206"/>
      <c r="AL77" s="206"/>
      <c r="AM77" s="207"/>
      <c r="AN77" s="209"/>
      <c r="AO77" s="209"/>
      <c r="AP77" s="206"/>
      <c r="AQ77" s="207"/>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row>
    <row r="78" spans="1:75" ht="35.1" customHeight="1" x14ac:dyDescent="0.3">
      <c r="A78" s="314"/>
      <c r="B78" s="294"/>
      <c r="C78" s="294"/>
      <c r="D78" s="294"/>
      <c r="E78" s="294"/>
      <c r="F78" s="162"/>
      <c r="G78" s="294"/>
      <c r="H78" s="175"/>
      <c r="I78" s="294"/>
      <c r="J78" s="296"/>
      <c r="K78" s="289"/>
      <c r="L78" s="292"/>
      <c r="M78" s="304"/>
      <c r="N78" s="292">
        <f t="shared" si="58"/>
        <v>0</v>
      </c>
      <c r="O78" s="289"/>
      <c r="P78" s="292"/>
      <c r="Q78" s="285"/>
      <c r="R78" s="163">
        <v>6</v>
      </c>
      <c r="S78" s="208"/>
      <c r="T78" s="164" t="str">
        <f t="shared" si="62"/>
        <v/>
      </c>
      <c r="U78" s="178"/>
      <c r="V78" s="178"/>
      <c r="W78" s="166" t="str">
        <f t="shared" si="59"/>
        <v/>
      </c>
      <c r="X78" s="178"/>
      <c r="Y78" s="178"/>
      <c r="Z78" s="178"/>
      <c r="AA78" s="167" t="str">
        <f>IFERROR(IF(AND(T77="Probabilidad",T78="Probabilidad"),(AC77-(+AC77*W78)),IF(AND(T77="Impacto",T78="Probabilidad"),(AC76-(+AC76*W78)),IF(T78="Impacto",AC77,""))),"")</f>
        <v/>
      </c>
      <c r="AB78" s="179" t="str">
        <f t="shared" si="30"/>
        <v/>
      </c>
      <c r="AC78" s="169" t="str">
        <f t="shared" si="60"/>
        <v/>
      </c>
      <c r="AD78" s="179" t="str">
        <f>IFERROR(IF(AE78="","",IF(AE78&lt;=0.2,"Leve",IF(AE78&lt;=0.4,"Menor",IF(AE78&lt;=0.6,"Moderado",IF(AE78&lt;=0.8,"Mayor","Catastrófico"))))),"")</f>
        <v/>
      </c>
      <c r="AE78" s="169" t="str">
        <f>IFERROR(IF(AND(T77="Impacto",T78="Impacto"),(AE77-(+AE77*W78)),IF(AND(T77="Probabilidad",T78="Impacto"),(AE76-(+AE76*W78)),IF(T78="Probabilidad",AE77,""))),"")</f>
        <v/>
      </c>
      <c r="AF78" s="180" t="str">
        <f>IFERROR(IF(OR(AND(AB78="Muy Baja",AD78="Leve"),AND(AB78="Muy Baja",AD78="Menor"),AND(AB78="Baja",AD78="Leve")),"Bajo",IF(OR(AND(AB78="Muy baja",AD78="Moderado"),AND(AB78="Baja",AD78="Menor"),AND(AB78="Baja",AD78="Moderado"),AND(AB78="Media",AD78="Leve"),AND(AB78="Media",AD78="Menor"),AND(AB78="Media",AD78="Moderado"),AND(AB78="Alta",AD78="Leve"),AND(AB78="Alta",AD78="Menor")),"Moderado",IF(OR(AND(AB78="Muy Baja",AD78="Mayor"),AND(AB78="Baja",AD78="Mayor"),AND(AB78="Media",AD78="Mayor"),AND(AB78="Alta",AD78="Moderado"),AND(AB78="Alta",AD78="Mayor"),AND(AB78="Muy Alta",AD78="Leve"),AND(AB78="Muy Alta",AD78="Menor"),AND(AB78="Muy Alta",AD78="Moderado"),AND(AB78="Muy Alta",AD78="Mayor")),"Alto",IF(OR(AND(AB78="Muy Baja",AD78="Catastrófico"),AND(AB78="Baja",AD78="Catastrófico"),AND(AB78="Media",AD78="Catastrófico"),AND(AB78="Alta",AD78="Catastrófico"),AND(AB78="Muy Alta",AD78="Catastrófico")),"Extremo","")))),"")</f>
        <v/>
      </c>
      <c r="AG78" s="171"/>
      <c r="AH78" s="206"/>
      <c r="AI78" s="206"/>
      <c r="AJ78" s="206"/>
      <c r="AK78" s="206"/>
      <c r="AL78" s="206"/>
      <c r="AM78" s="207"/>
      <c r="AN78" s="209"/>
      <c r="AO78" s="209"/>
      <c r="AP78" s="206"/>
      <c r="AQ78" s="207"/>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row>
    <row r="79" spans="1:75" ht="35.1" customHeight="1" x14ac:dyDescent="0.3">
      <c r="A79" s="312">
        <v>7</v>
      </c>
      <c r="B79" s="311" t="s">
        <v>127</v>
      </c>
      <c r="C79" s="311" t="s">
        <v>243</v>
      </c>
      <c r="D79" s="320" t="s">
        <v>248</v>
      </c>
      <c r="E79" s="320" t="s">
        <v>261</v>
      </c>
      <c r="F79" s="185" t="s">
        <v>413</v>
      </c>
      <c r="G79" s="320" t="s">
        <v>414</v>
      </c>
      <c r="H79" s="187" t="s">
        <v>415</v>
      </c>
      <c r="I79" s="311" t="s">
        <v>120</v>
      </c>
      <c r="J79" s="308">
        <v>2</v>
      </c>
      <c r="K79" s="287" t="str">
        <f>IF(J79&lt;=0,"",IF(J79&lt;=2,"Muy Baja",IF(J79&lt;=24,"Baja",IF(J79&lt;=500,"Media",IF(J79&lt;=5000,"Alta","Muy Alta")))))</f>
        <v>Muy Baja</v>
      </c>
      <c r="L79" s="290">
        <f>IF(K79="","",IF(K79="Muy Baja",0.2,IF(K79="Baja",0.4,IF(K79="Media",0.6,IF(K79="Alta",0.8,IF(K79="Muy Alta",1,))))))</f>
        <v>0.2</v>
      </c>
      <c r="M79" s="305" t="s">
        <v>148</v>
      </c>
      <c r="N79" s="290" t="str">
        <f>IF(NOT(ISERROR(MATCH(M79,'[2]Tabla Impacto'!$B$221:$B$223,0))),'[2]Tabla Impacto'!$F$223&amp;"Por favor no seleccionar los criterios de impacto(Afectación Económica o presupuestal y Pérdida Reputacional)",M79)</f>
        <v xml:space="preserve">     El riesgo afecta la imagen de la entidad con algunos usuarios de relevancia frente al logro de los objetivos</v>
      </c>
      <c r="O79" s="287" t="str">
        <f>IF(OR(N79='[2]Tabla Impacto'!$C$11,N79='[2]Tabla Impacto'!$D$11),"Leve",IF(OR(N79='[2]Tabla Impacto'!$C$12,N79='[2]Tabla Impacto'!$D$12),"Menor",IF(OR(N79='[2]Tabla Impacto'!$C$13,N79='[2]Tabla Impacto'!$D$13),"Moderado",IF(OR(N79='[2]Tabla Impacto'!$C$14,N79='[2]Tabla Impacto'!$D$14),"Mayor",IF(OR(N79='[2]Tabla Impacto'!$C$15,N79='[2]Tabla Impacto'!$D$15),"Catastrófico","")))))</f>
        <v>Moderado</v>
      </c>
      <c r="P79" s="290">
        <f>IF(O79="","",IF(O79="Leve",0.2,IF(O79="Menor",0.4,IF(O79="Moderado",0.6,IF(O79="Mayor",0.8,IF(O79="Catastrófico",1,))))))</f>
        <v>0.6</v>
      </c>
      <c r="Q79" s="283" t="str">
        <f>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63">
        <v>1</v>
      </c>
      <c r="S79" s="183" t="s">
        <v>416</v>
      </c>
      <c r="T79" s="164" t="str">
        <f>IF(OR(U79="Preventivo",U79="Detectivo"),"Probabilidad",IF(U79="Correctivo","Impacto",""))</f>
        <v>Probabilidad</v>
      </c>
      <c r="U79" s="165" t="s">
        <v>13</v>
      </c>
      <c r="V79" s="165" t="s">
        <v>8</v>
      </c>
      <c r="W79" s="166" t="str">
        <f>IF(AND(U79="Preventivo",V79="Automático"),"50%",IF(AND(U79="Preventivo",V79="Manual"),"40%",IF(AND(U79="Detectivo",V79="Automático"),"40%",IF(AND(U79="Detectivo",V79="Manual"),"30%",IF(AND(U79="Correctivo",V79="Automático"),"35%",IF(AND(U79="Correctivo",V79="Manual"),"25%",""))))))</f>
        <v>40%</v>
      </c>
      <c r="X79" s="165" t="s">
        <v>18</v>
      </c>
      <c r="Y79" s="165" t="s">
        <v>21</v>
      </c>
      <c r="Z79" s="165" t="s">
        <v>116</v>
      </c>
      <c r="AA79" s="167">
        <f>IFERROR(IF(T79="Probabilidad",(L79-(+L79*W79)),IF(T79="Impacto",L79,"")),"")</f>
        <v>0.12</v>
      </c>
      <c r="AB79" s="168" t="str">
        <f>IFERROR(IF(AA79="","",IF(AA79&lt;=0.2,"Muy Baja",IF(AA79&lt;=0.4,"Baja",IF(AA79&lt;=0.6,"Media",IF(AA79&lt;=0.8,"Alta","Muy Alta"))))),"")</f>
        <v>Muy Baja</v>
      </c>
      <c r="AC79" s="169">
        <f>+AA79</f>
        <v>0.12</v>
      </c>
      <c r="AD79" s="179" t="str">
        <f>IFERROR(IF(AE79="","",IF(AE79&lt;=0.2,"Leve",IF(AE79&lt;=0.4,"Menor",IF(AE79&lt;=0.6,"Moderado",IF(AE79&lt;=0.8,"Mayor","Catastrófico"))))),"")</f>
        <v>Moderado</v>
      </c>
      <c r="AE79" s="169">
        <f>IFERROR(IF(T79="Impacto",(P79-(+P79*W79)),IF(T79="Probabilidad",P79,"")),"")</f>
        <v>0.6</v>
      </c>
      <c r="AF79" s="180" t="str">
        <f>IFERROR(IF(OR(AND(AB79="Muy Baja",AD79="Leve"),AND(AB79="Muy Baja",AD79="Menor"),AND(AB79="Baja",AD79="Leve")),"Bajo",IF(OR(AND(AB79="Muy baja",AD79="Moderado"),AND(AB79="Baja",AD79="Menor"),AND(AB79="Baja",AD79="Moderado"),AND(AB79="Media",AD79="Leve"),AND(AB79="Media",AD79="Menor"),AND(AB79="Media",AD79="Moderado"),AND(AB79="Alta",AD79="Leve"),AND(AB79="Alta",AD79="Menor")),"Moderado",IF(OR(AND(AB79="Muy Baja",AD79="Mayor"),AND(AB79="Baja",AD79="Mayor"),AND(AB79="Media",AD79="Mayor"),AND(AB79="Alta",AD79="Moderado"),AND(AB79="Alta",AD79="Mayor"),AND(AB79="Muy Alta",AD79="Leve"),AND(AB79="Muy Alta",AD79="Menor"),AND(AB79="Muy Alta",AD79="Moderado"),AND(AB79="Muy Alta",AD79="Mayor")),"Alto",IF(OR(AND(AB79="Muy Baja",AD79="Catastrófico"),AND(AB79="Baja",AD79="Catastrófico"),AND(AB79="Media",AD79="Catastrófico"),AND(AB79="Alta",AD79="Catastrófico"),AND(AB79="Muy Alta",AD79="Catastrófico")),"Extremo","")))),"")</f>
        <v>Moderado</v>
      </c>
      <c r="AG79" s="171" t="s">
        <v>131</v>
      </c>
      <c r="AH79" s="206" t="s">
        <v>417</v>
      </c>
      <c r="AI79" s="206" t="s">
        <v>306</v>
      </c>
      <c r="AJ79" s="206" t="s">
        <v>307</v>
      </c>
      <c r="AK79" s="206" t="s">
        <v>343</v>
      </c>
      <c r="AL79" s="206" t="s">
        <v>343</v>
      </c>
      <c r="AM79" s="206" t="s">
        <v>343</v>
      </c>
      <c r="AN79" s="206" t="s">
        <v>343</v>
      </c>
      <c r="AO79" s="206" t="s">
        <v>343</v>
      </c>
      <c r="AP79" s="206" t="s">
        <v>343</v>
      </c>
      <c r="AQ79" s="207" t="s">
        <v>39</v>
      </c>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row>
    <row r="80" spans="1:75" ht="35.1" customHeight="1" x14ac:dyDescent="0.3">
      <c r="A80" s="313"/>
      <c r="B80" s="293"/>
      <c r="C80" s="293"/>
      <c r="D80" s="293"/>
      <c r="E80" s="293"/>
      <c r="F80" s="184" t="s">
        <v>418</v>
      </c>
      <c r="G80" s="293"/>
      <c r="H80" s="196" t="s">
        <v>419</v>
      </c>
      <c r="I80" s="293"/>
      <c r="J80" s="295"/>
      <c r="K80" s="288"/>
      <c r="L80" s="291"/>
      <c r="M80" s="303"/>
      <c r="N80" s="291">
        <f t="shared" ref="N80:N84" si="64">IF(NOT(ISERROR(MATCH(M80,_xlfn.ANCHORARRAY(H91),0))),L93&amp;"Por favor no seleccionar los criterios de impacto",M80)</f>
        <v>0</v>
      </c>
      <c r="O80" s="288"/>
      <c r="P80" s="291"/>
      <c r="Q80" s="284"/>
      <c r="R80" s="163">
        <v>2</v>
      </c>
      <c r="S80" s="183" t="s">
        <v>420</v>
      </c>
      <c r="T80" s="164" t="str">
        <f>IF(OR(U80="Preventivo",U80="Detectivo"),"Probabilidad",IF(U80="Correctivo","Impacto",""))</f>
        <v>Impacto</v>
      </c>
      <c r="U80" s="165" t="s">
        <v>15</v>
      </c>
      <c r="V80" s="165" t="s">
        <v>8</v>
      </c>
      <c r="W80" s="166" t="str">
        <f t="shared" ref="W80:W84" si="65">IF(AND(U80="Preventivo",V80="Automático"),"50%",IF(AND(U80="Preventivo",V80="Manual"),"40%",IF(AND(U80="Detectivo",V80="Automático"),"40%",IF(AND(U80="Detectivo",V80="Manual"),"30%",IF(AND(U80="Correctivo",V80="Automático"),"35%",IF(AND(U80="Correctivo",V80="Manual"),"25%",""))))))</f>
        <v>25%</v>
      </c>
      <c r="X80" s="165" t="s">
        <v>18</v>
      </c>
      <c r="Y80" s="165" t="s">
        <v>21</v>
      </c>
      <c r="Z80" s="165" t="s">
        <v>116</v>
      </c>
      <c r="AA80" s="167">
        <f>IFERROR(IF(AND(T79="Probabilidad",T80="Probabilidad"),(AC79-(+AC79*W80)),IF(T80="Probabilidad",(L79-(+L79*W80)),IF(T80="Impacto",AC79,""))),"")</f>
        <v>0.12</v>
      </c>
      <c r="AB80" s="168" t="str">
        <f t="shared" si="30"/>
        <v>Muy Baja</v>
      </c>
      <c r="AC80" s="169">
        <f t="shared" ref="AC80:AC84" si="66">+AA80</f>
        <v>0.12</v>
      </c>
      <c r="AD80" s="179" t="str">
        <f t="shared" si="32"/>
        <v>Moderado</v>
      </c>
      <c r="AE80" s="169">
        <f>IFERROR(IF(AND(T79="Impacto",T80="Impacto"),(AE79-(+AE79*W80)),IF(T80="Impacto",(P79-(+P79*W80)),IF(T80="Probabilidad",AE79,""))),"")</f>
        <v>0.44999999999999996</v>
      </c>
      <c r="AF80" s="180" t="str">
        <f t="shared" ref="AF80:AF81" si="67">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71" t="s">
        <v>131</v>
      </c>
      <c r="AH80" s="206" t="s">
        <v>421</v>
      </c>
      <c r="AI80" s="206" t="s">
        <v>306</v>
      </c>
      <c r="AJ80" s="206" t="s">
        <v>307</v>
      </c>
      <c r="AK80" s="206" t="s">
        <v>343</v>
      </c>
      <c r="AL80" s="206" t="s">
        <v>343</v>
      </c>
      <c r="AM80" s="206" t="s">
        <v>343</v>
      </c>
      <c r="AN80" s="206" t="s">
        <v>343</v>
      </c>
      <c r="AO80" s="206" t="s">
        <v>343</v>
      </c>
      <c r="AP80" s="206" t="s">
        <v>343</v>
      </c>
      <c r="AQ80" s="207" t="s">
        <v>39</v>
      </c>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row>
    <row r="81" spans="1:75" ht="35.1" customHeight="1" x14ac:dyDescent="0.3">
      <c r="A81" s="313"/>
      <c r="B81" s="293"/>
      <c r="C81" s="293"/>
      <c r="D81" s="293"/>
      <c r="E81" s="293"/>
      <c r="F81" s="152"/>
      <c r="G81" s="293"/>
      <c r="H81" s="153"/>
      <c r="I81" s="293"/>
      <c r="J81" s="295"/>
      <c r="K81" s="288"/>
      <c r="L81" s="291"/>
      <c r="M81" s="303"/>
      <c r="N81" s="291">
        <f t="shared" si="64"/>
        <v>0</v>
      </c>
      <c r="O81" s="288"/>
      <c r="P81" s="291"/>
      <c r="Q81" s="284"/>
      <c r="R81" s="163">
        <v>3</v>
      </c>
      <c r="S81" s="174"/>
      <c r="T81" s="164" t="str">
        <f>IF(OR(U81="Preventivo",U81="Detectivo"),"Probabilidad",IF(U81="Correctivo","Impacto",""))</f>
        <v/>
      </c>
      <c r="U81" s="178"/>
      <c r="V81" s="178"/>
      <c r="W81" s="166" t="str">
        <f t="shared" si="65"/>
        <v/>
      </c>
      <c r="X81" s="178"/>
      <c r="Y81" s="178"/>
      <c r="Z81" s="178"/>
      <c r="AA81" s="167" t="str">
        <f>IFERROR(IF(AND(T80="Probabilidad",T81="Probabilidad"),(AC80-(+AC80*W81)),IF(AND(T80="Impacto",T81="Probabilidad"),(AC79-(+AC79*W81)),IF(T81="Impacto",AC80,""))),"")</f>
        <v/>
      </c>
      <c r="AB81" s="179" t="str">
        <f t="shared" si="30"/>
        <v/>
      </c>
      <c r="AC81" s="169" t="str">
        <f t="shared" si="66"/>
        <v/>
      </c>
      <c r="AD81" s="179" t="str">
        <f t="shared" si="32"/>
        <v/>
      </c>
      <c r="AE81" s="169" t="str">
        <f>IFERROR(IF(AND(T80="Impacto",T81="Impacto"),(AE80-(+AE80*W81)),IF(AND(T80="Probabilidad",T81="Impacto"),(AE79-(+AE79*W81)),IF(T81="Probabilidad",AE80,""))),"")</f>
        <v/>
      </c>
      <c r="AF81" s="180" t="str">
        <f t="shared" si="67"/>
        <v/>
      </c>
      <c r="AG81" s="171"/>
      <c r="AH81" s="206"/>
      <c r="AI81" s="206"/>
      <c r="AJ81" s="206"/>
      <c r="AK81" s="206"/>
      <c r="AL81" s="206"/>
      <c r="AM81" s="207"/>
      <c r="AN81" s="209"/>
      <c r="AO81" s="209"/>
      <c r="AP81" s="206"/>
      <c r="AQ81" s="207"/>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row>
    <row r="82" spans="1:75" ht="35.1" customHeight="1" x14ac:dyDescent="0.3">
      <c r="A82" s="313"/>
      <c r="B82" s="293"/>
      <c r="C82" s="293"/>
      <c r="D82" s="293"/>
      <c r="E82" s="293"/>
      <c r="F82" s="152"/>
      <c r="G82" s="293"/>
      <c r="H82" s="153"/>
      <c r="I82" s="293"/>
      <c r="J82" s="295"/>
      <c r="K82" s="288"/>
      <c r="L82" s="291"/>
      <c r="M82" s="303"/>
      <c r="N82" s="291">
        <f t="shared" si="64"/>
        <v>0</v>
      </c>
      <c r="O82" s="288"/>
      <c r="P82" s="291"/>
      <c r="Q82" s="284"/>
      <c r="R82" s="163">
        <v>4</v>
      </c>
      <c r="S82" s="208"/>
      <c r="T82" s="164" t="str">
        <f t="shared" ref="T82:T84" si="68">IF(OR(U82="Preventivo",U82="Detectivo"),"Probabilidad",IF(U82="Correctivo","Impacto",""))</f>
        <v/>
      </c>
      <c r="U82" s="178"/>
      <c r="V82" s="178"/>
      <c r="W82" s="166" t="str">
        <f t="shared" si="65"/>
        <v/>
      </c>
      <c r="X82" s="178"/>
      <c r="Y82" s="178"/>
      <c r="Z82" s="178"/>
      <c r="AA82" s="167" t="str">
        <f>IFERROR(IF(AND(T81="Probabilidad",T82="Probabilidad"),(AC81-(+AC81*W82)),IF(AND(T81="Impacto",T82="Probabilidad"),(AC80-(+AC80*W82)),IF(T82="Impacto",AC81,""))),"")</f>
        <v/>
      </c>
      <c r="AB82" s="179" t="str">
        <f t="shared" si="30"/>
        <v/>
      </c>
      <c r="AC82" s="169" t="str">
        <f t="shared" si="66"/>
        <v/>
      </c>
      <c r="AD82" s="179" t="str">
        <f t="shared" si="32"/>
        <v/>
      </c>
      <c r="AE82" s="169" t="str">
        <f>IFERROR(IF(AND(T81="Impacto",T82="Impacto"),(AE81-(+AE81*W82)),IF(AND(T81="Probabilidad",T82="Impacto"),(AE80-(+AE80*W82)),IF(T82="Probabilidad",AE81,""))),"")</f>
        <v/>
      </c>
      <c r="AF82" s="180" t="str">
        <f>IFERROR(IF(OR(AND(AB82="Muy Baja",AD82="Leve"),AND(AB82="Muy Baja",AD82="Menor"),AND(AB82="Baja",AD82="Leve")),"Bajo",IF(OR(AND(AB82="Muy baja",AD82="Moderado"),AND(AB82="Baja",AD82="Menor"),AND(AB82="Baja",AD82="Moderado"),AND(AB82="Media",AD82="Leve"),AND(AB82="Media",AD82="Menor"),AND(AB82="Media",AD82="Moderado"),AND(AB82="Alta",AD82="Leve"),AND(AB82="Alta",AD82="Menor")),"Moderado",IF(OR(AND(AB82="Muy Baja",AD82="Mayor"),AND(AB82="Baja",AD82="Mayor"),AND(AB82="Media",AD82="Mayor"),AND(AB82="Alta",AD82="Moderado"),AND(AB82="Alta",AD82="Mayor"),AND(AB82="Muy Alta",AD82="Leve"),AND(AB82="Muy Alta",AD82="Menor"),AND(AB82="Muy Alta",AD82="Moderado"),AND(AB82="Muy Alta",AD82="Mayor")),"Alto",IF(OR(AND(AB82="Muy Baja",AD82="Catastrófico"),AND(AB82="Baja",AD82="Catastrófico"),AND(AB82="Media",AD82="Catastrófico"),AND(AB82="Alta",AD82="Catastrófico"),AND(AB82="Muy Alta",AD82="Catastrófico")),"Extremo","")))),"")</f>
        <v/>
      </c>
      <c r="AG82" s="171"/>
      <c r="AH82" s="206"/>
      <c r="AI82" s="206"/>
      <c r="AJ82" s="206"/>
      <c r="AK82" s="206"/>
      <c r="AL82" s="206"/>
      <c r="AM82" s="207"/>
      <c r="AN82" s="209"/>
      <c r="AO82" s="209"/>
      <c r="AP82" s="206"/>
      <c r="AQ82" s="207"/>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row>
    <row r="83" spans="1:75" ht="35.1" customHeight="1" x14ac:dyDescent="0.3">
      <c r="A83" s="313"/>
      <c r="B83" s="293"/>
      <c r="C83" s="293"/>
      <c r="D83" s="293"/>
      <c r="E83" s="293"/>
      <c r="F83" s="152"/>
      <c r="G83" s="293"/>
      <c r="H83" s="153"/>
      <c r="I83" s="293"/>
      <c r="J83" s="295"/>
      <c r="K83" s="288"/>
      <c r="L83" s="291"/>
      <c r="M83" s="303"/>
      <c r="N83" s="291">
        <f t="shared" si="64"/>
        <v>0</v>
      </c>
      <c r="O83" s="288"/>
      <c r="P83" s="291"/>
      <c r="Q83" s="284"/>
      <c r="R83" s="163">
        <v>5</v>
      </c>
      <c r="S83" s="208"/>
      <c r="T83" s="164" t="str">
        <f t="shared" si="68"/>
        <v/>
      </c>
      <c r="U83" s="178"/>
      <c r="V83" s="178"/>
      <c r="W83" s="166" t="str">
        <f t="shared" si="65"/>
        <v/>
      </c>
      <c r="X83" s="178"/>
      <c r="Y83" s="178"/>
      <c r="Z83" s="178"/>
      <c r="AA83" s="167" t="str">
        <f>IFERROR(IF(AND(T82="Probabilidad",T83="Probabilidad"),(AC82-(+AC82*W83)),IF(AND(T82="Impacto",T83="Probabilidad"),(AC81-(+AC81*W83)),IF(T83="Impacto",AC82,""))),"")</f>
        <v/>
      </c>
      <c r="AB83" s="179" t="str">
        <f t="shared" si="30"/>
        <v/>
      </c>
      <c r="AC83" s="169" t="str">
        <f t="shared" si="66"/>
        <v/>
      </c>
      <c r="AD83" s="179" t="str">
        <f t="shared" si="32"/>
        <v/>
      </c>
      <c r="AE83" s="169" t="str">
        <f>IFERROR(IF(AND(T82="Impacto",T83="Impacto"),(AE82-(+AE82*W83)),IF(AND(T82="Probabilidad",T83="Impacto"),(AE81-(+AE81*W83)),IF(T83="Probabilidad",AE82,""))),"")</f>
        <v/>
      </c>
      <c r="AF83" s="180" t="str">
        <f t="shared" ref="AF83:AF84" si="69">IFERROR(IF(OR(AND(AB83="Muy Baja",AD83="Leve"),AND(AB83="Muy Baja",AD83="Menor"),AND(AB83="Baja",AD83="Leve")),"Bajo",IF(OR(AND(AB83="Muy baja",AD83="Moderado"),AND(AB83="Baja",AD83="Menor"),AND(AB83="Baja",AD83="Moderado"),AND(AB83="Media",AD83="Leve"),AND(AB83="Media",AD83="Menor"),AND(AB83="Media",AD83="Moderado"),AND(AB83="Alta",AD83="Leve"),AND(AB83="Alta",AD83="Menor")),"Moderado",IF(OR(AND(AB83="Muy Baja",AD83="Mayor"),AND(AB83="Baja",AD83="Mayor"),AND(AB83="Media",AD83="Mayor"),AND(AB83="Alta",AD83="Moderado"),AND(AB83="Alta",AD83="Mayor"),AND(AB83="Muy Alta",AD83="Leve"),AND(AB83="Muy Alta",AD83="Menor"),AND(AB83="Muy Alta",AD83="Moderado"),AND(AB83="Muy Alta",AD83="Mayor")),"Alto",IF(OR(AND(AB83="Muy Baja",AD83="Catastrófico"),AND(AB83="Baja",AD83="Catastrófico"),AND(AB83="Media",AD83="Catastrófico"),AND(AB83="Alta",AD83="Catastrófico"),AND(AB83="Muy Alta",AD83="Catastrófico")),"Extremo","")))),"")</f>
        <v/>
      </c>
      <c r="AG83" s="171"/>
      <c r="AH83" s="206"/>
      <c r="AI83" s="206"/>
      <c r="AJ83" s="206"/>
      <c r="AK83" s="206"/>
      <c r="AL83" s="206"/>
      <c r="AM83" s="207"/>
      <c r="AN83" s="209"/>
      <c r="AO83" s="209"/>
      <c r="AP83" s="206"/>
      <c r="AQ83" s="207"/>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row>
    <row r="84" spans="1:75" ht="35.1" customHeight="1" x14ac:dyDescent="0.3">
      <c r="A84" s="314"/>
      <c r="B84" s="294"/>
      <c r="C84" s="294"/>
      <c r="D84" s="294"/>
      <c r="E84" s="294"/>
      <c r="F84" s="162"/>
      <c r="G84" s="294"/>
      <c r="H84" s="175"/>
      <c r="I84" s="294"/>
      <c r="J84" s="296"/>
      <c r="K84" s="289"/>
      <c r="L84" s="292"/>
      <c r="M84" s="304"/>
      <c r="N84" s="292">
        <f t="shared" si="64"/>
        <v>0</v>
      </c>
      <c r="O84" s="289"/>
      <c r="P84" s="292"/>
      <c r="Q84" s="285"/>
      <c r="R84" s="163">
        <v>6</v>
      </c>
      <c r="S84" s="208"/>
      <c r="T84" s="164" t="str">
        <f t="shared" si="68"/>
        <v/>
      </c>
      <c r="U84" s="178"/>
      <c r="V84" s="178"/>
      <c r="W84" s="166" t="str">
        <f t="shared" si="65"/>
        <v/>
      </c>
      <c r="X84" s="178"/>
      <c r="Y84" s="178"/>
      <c r="Z84" s="178"/>
      <c r="AA84" s="167" t="str">
        <f>IFERROR(IF(AND(T83="Probabilidad",T84="Probabilidad"),(AC83-(+AC83*W84)),IF(AND(T83="Impacto",T84="Probabilidad"),(AC82-(+AC82*W84)),IF(T84="Impacto",AC83,""))),"")</f>
        <v/>
      </c>
      <c r="AB84" s="179" t="str">
        <f t="shared" si="30"/>
        <v/>
      </c>
      <c r="AC84" s="169" t="str">
        <f t="shared" si="66"/>
        <v/>
      </c>
      <c r="AD84" s="179" t="str">
        <f t="shared" si="32"/>
        <v/>
      </c>
      <c r="AE84" s="169" t="str">
        <f>IFERROR(IF(AND(T83="Impacto",T84="Impacto"),(AE83-(+AE83*W84)),IF(AND(T83="Probabilidad",T84="Impacto"),(AE82-(+AE82*W84)),IF(T84="Probabilidad",AE83,""))),"")</f>
        <v/>
      </c>
      <c r="AF84" s="180" t="str">
        <f t="shared" si="69"/>
        <v/>
      </c>
      <c r="AG84" s="171"/>
      <c r="AH84" s="206"/>
      <c r="AI84" s="206"/>
      <c r="AJ84" s="206"/>
      <c r="AK84" s="206"/>
      <c r="AL84" s="206"/>
      <c r="AM84" s="207"/>
      <c r="AN84" s="209"/>
      <c r="AO84" s="209"/>
      <c r="AP84" s="206"/>
      <c r="AQ84" s="207"/>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row>
    <row r="85" spans="1:75" ht="35.1" customHeight="1" x14ac:dyDescent="0.3">
      <c r="A85" s="312">
        <v>8</v>
      </c>
      <c r="B85" s="311" t="s">
        <v>127</v>
      </c>
      <c r="C85" s="311" t="s">
        <v>243</v>
      </c>
      <c r="D85" s="320" t="s">
        <v>248</v>
      </c>
      <c r="E85" s="320" t="s">
        <v>261</v>
      </c>
      <c r="F85" s="185" t="s">
        <v>422</v>
      </c>
      <c r="G85" s="320" t="s">
        <v>423</v>
      </c>
      <c r="H85" s="177" t="s">
        <v>424</v>
      </c>
      <c r="I85" s="311" t="s">
        <v>120</v>
      </c>
      <c r="J85" s="308">
        <v>12</v>
      </c>
      <c r="K85" s="287" t="str">
        <f>IF(J85&lt;=0,"",IF(J85&lt;=2,"Muy Baja",IF(J85&lt;=24,"Baja",IF(J85&lt;=500,"Media",IF(J85&lt;=5000,"Alta","Muy Alta")))))</f>
        <v>Baja</v>
      </c>
      <c r="L85" s="290">
        <f>IF(K85="","",IF(K85="Muy Baja",0.2,IF(K85="Baja",0.4,IF(K85="Media",0.6,IF(K85="Alta",0.8,IF(K85="Muy Alta",1,))))))</f>
        <v>0.4</v>
      </c>
      <c r="M85" s="305" t="s">
        <v>148</v>
      </c>
      <c r="N85" s="290" t="str">
        <f>IF(NOT(ISERROR(MATCH(M85,'[2]Tabla Impacto'!$B$221:$B$223,0))),'[2]Tabla Impacto'!$F$223&amp;"Por favor no seleccionar los criterios de impacto(Afectación Económica o presupuestal y Pérdida Reputacional)",M85)</f>
        <v xml:space="preserve">     El riesgo afecta la imagen de la entidad con algunos usuarios de relevancia frente al logro de los objetivos</v>
      </c>
      <c r="O85" s="287" t="str">
        <f>IF(OR(N85='[2]Tabla Impacto'!$C$11,N85='[2]Tabla Impacto'!$D$11),"Leve",IF(OR(N85='[2]Tabla Impacto'!$C$12,N85='[2]Tabla Impacto'!$D$12),"Menor",IF(OR(N85='[2]Tabla Impacto'!$C$13,N85='[2]Tabla Impacto'!$D$13),"Moderado",IF(OR(N85='[2]Tabla Impacto'!$C$14,N85='[2]Tabla Impacto'!$D$14),"Mayor",IF(OR(N85='[2]Tabla Impacto'!$C$15,N85='[2]Tabla Impacto'!$D$15),"Catastrófico","")))))</f>
        <v>Moderado</v>
      </c>
      <c r="P85" s="290">
        <f>IF(O85="","",IF(O85="Leve",0.2,IF(O85="Menor",0.4,IF(O85="Moderado",0.6,IF(O85="Mayor",0.8,IF(O85="Catastrófico",1,))))))</f>
        <v>0.6</v>
      </c>
      <c r="Q85" s="283" t="str">
        <f>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Moderado</v>
      </c>
      <c r="R85" s="163">
        <v>1</v>
      </c>
      <c r="S85" s="183" t="s">
        <v>425</v>
      </c>
      <c r="T85" s="164" t="str">
        <f>IF(OR(U85="Preventivo",U85="Detectivo"),"Probabilidad",IF(U85="Correctivo","Impacto",""))</f>
        <v>Probabilidad</v>
      </c>
      <c r="U85" s="165" t="s">
        <v>13</v>
      </c>
      <c r="V85" s="165" t="s">
        <v>8</v>
      </c>
      <c r="W85" s="166" t="str">
        <f>IF(AND(U85="Preventivo",V85="Automático"),"50%",IF(AND(U85="Preventivo",V85="Manual"),"40%",IF(AND(U85="Detectivo",V85="Automático"),"40%",IF(AND(U85="Detectivo",V85="Manual"),"30%",IF(AND(U85="Correctivo",V85="Automático"),"35%",IF(AND(U85="Correctivo",V85="Manual"),"25%",""))))))</f>
        <v>40%</v>
      </c>
      <c r="X85" s="165" t="s">
        <v>18</v>
      </c>
      <c r="Y85" s="165" t="s">
        <v>22</v>
      </c>
      <c r="Z85" s="165" t="s">
        <v>116</v>
      </c>
      <c r="AA85" s="167">
        <f>IFERROR(IF(T85="Probabilidad",(L85-(+L85*W85)),IF(T85="Impacto",L85,"")),"")</f>
        <v>0.24</v>
      </c>
      <c r="AB85" s="168" t="str">
        <f>IFERROR(IF(AA85="","",IF(AA85&lt;=0.2,"Muy Baja",IF(AA85&lt;=0.4,"Baja",IF(AA85&lt;=0.6,"Media",IF(AA85&lt;=0.8,"Alta","Muy Alta"))))),"")</f>
        <v>Baja</v>
      </c>
      <c r="AC85" s="169">
        <f>+AA85</f>
        <v>0.24</v>
      </c>
      <c r="AD85" s="179" t="str">
        <f>IFERROR(IF(AE85="","",IF(AE85&lt;=0.2,"Leve",IF(AE85&lt;=0.4,"Menor",IF(AE85&lt;=0.6,"Moderado",IF(AE85&lt;=0.8,"Mayor","Catastrófico"))))),"")</f>
        <v>Moderado</v>
      </c>
      <c r="AE85" s="169">
        <f>IFERROR(IF(T85="Impacto",(P85-(+P85*W85)),IF(T85="Probabilidad",P85,"")),"")</f>
        <v>0.6</v>
      </c>
      <c r="AF85" s="180" t="str">
        <f>IFERROR(IF(OR(AND(AB85="Muy Baja",AD85="Leve"),AND(AB85="Muy Baja",AD85="Menor"),AND(AB85="Baja",AD85="Leve")),"Bajo",IF(OR(AND(AB85="Muy baja",AD85="Moderado"),AND(AB85="Baja",AD85="Menor"),AND(AB85="Baja",AD85="Moderado"),AND(AB85="Media",AD85="Leve"),AND(AB85="Media",AD85="Menor"),AND(AB85="Media",AD85="Moderado"),AND(AB85="Alta",AD85="Leve"),AND(AB85="Alta",AD85="Menor")),"Moderado",IF(OR(AND(AB85="Muy Baja",AD85="Mayor"),AND(AB85="Baja",AD85="Mayor"),AND(AB85="Media",AD85="Mayor"),AND(AB85="Alta",AD85="Moderado"),AND(AB85="Alta",AD85="Mayor"),AND(AB85="Muy Alta",AD85="Leve"),AND(AB85="Muy Alta",AD85="Menor"),AND(AB85="Muy Alta",AD85="Moderado"),AND(AB85="Muy Alta",AD85="Mayor")),"Alto",IF(OR(AND(AB85="Muy Baja",AD85="Catastrófico"),AND(AB85="Baja",AD85="Catastrófico"),AND(AB85="Media",AD85="Catastrófico"),AND(AB85="Alta",AD85="Catastrófico"),AND(AB85="Muy Alta",AD85="Catastrófico")),"Extremo","")))),"")</f>
        <v>Moderado</v>
      </c>
      <c r="AG85" s="171" t="s">
        <v>131</v>
      </c>
      <c r="AH85" s="206" t="s">
        <v>426</v>
      </c>
      <c r="AI85" s="206" t="s">
        <v>306</v>
      </c>
      <c r="AJ85" s="206" t="s">
        <v>307</v>
      </c>
      <c r="AK85" s="206" t="s">
        <v>343</v>
      </c>
      <c r="AL85" s="206" t="s">
        <v>343</v>
      </c>
      <c r="AM85" s="206" t="s">
        <v>343</v>
      </c>
      <c r="AN85" s="206" t="s">
        <v>343</v>
      </c>
      <c r="AO85" s="206" t="s">
        <v>343</v>
      </c>
      <c r="AP85" s="206" t="s">
        <v>343</v>
      </c>
      <c r="AQ85" s="207" t="s">
        <v>39</v>
      </c>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row>
    <row r="86" spans="1:75" ht="35.1" customHeight="1" x14ac:dyDescent="0.3">
      <c r="A86" s="313"/>
      <c r="B86" s="293"/>
      <c r="C86" s="293"/>
      <c r="D86" s="293"/>
      <c r="E86" s="293"/>
      <c r="F86" s="184" t="s">
        <v>427</v>
      </c>
      <c r="G86" s="293"/>
      <c r="H86" s="153" t="s">
        <v>428</v>
      </c>
      <c r="I86" s="293"/>
      <c r="J86" s="295"/>
      <c r="K86" s="288"/>
      <c r="L86" s="291"/>
      <c r="M86" s="303"/>
      <c r="N86" s="291">
        <f>IF(NOT(ISERROR(MATCH(M86,_xlfn.ANCHORARRAY(H97),0))),L99&amp;"Por favor no seleccionar los criterios de impacto",M86)</f>
        <v>0</v>
      </c>
      <c r="O86" s="288"/>
      <c r="P86" s="291"/>
      <c r="Q86" s="284"/>
      <c r="R86" s="163">
        <v>2</v>
      </c>
      <c r="S86" s="183" t="s">
        <v>429</v>
      </c>
      <c r="T86" s="164" t="str">
        <f>IF(OR(U86="Preventivo",U86="Detectivo"),"Probabilidad",IF(U86="Correctivo","Impacto",""))</f>
        <v>Probabilidad</v>
      </c>
      <c r="U86" s="165" t="s">
        <v>14</v>
      </c>
      <c r="V86" s="165" t="s">
        <v>8</v>
      </c>
      <c r="W86" s="166" t="str">
        <f t="shared" ref="W86:W90" si="70">IF(AND(U86="Preventivo",V86="Automático"),"50%",IF(AND(U86="Preventivo",V86="Manual"),"40%",IF(AND(U86="Detectivo",V86="Automático"),"40%",IF(AND(U86="Detectivo",V86="Manual"),"30%",IF(AND(U86="Correctivo",V86="Automático"),"35%",IF(AND(U86="Correctivo",V86="Manual"),"25%",""))))))</f>
        <v>30%</v>
      </c>
      <c r="X86" s="165" t="s">
        <v>18</v>
      </c>
      <c r="Y86" s="165" t="s">
        <v>22</v>
      </c>
      <c r="Z86" s="165" t="s">
        <v>116</v>
      </c>
      <c r="AA86" s="167">
        <f>IFERROR(IF(AND(T85="Probabilidad",T86="Probabilidad"),(AC85-(+AC85*W86)),IF(T86="Probabilidad",(L85-(+L85*W86)),IF(T86="Impacto",AC85,""))),"")</f>
        <v>0.16799999999999998</v>
      </c>
      <c r="AB86" s="168" t="str">
        <f t="shared" si="30"/>
        <v>Muy Baja</v>
      </c>
      <c r="AC86" s="169">
        <f t="shared" ref="AC86:AC90" si="71">+AA86</f>
        <v>0.16799999999999998</v>
      </c>
      <c r="AD86" s="179" t="str">
        <f t="shared" si="32"/>
        <v>Moderado</v>
      </c>
      <c r="AE86" s="169">
        <f>IFERROR(IF(AND(T85="Impacto",T86="Impacto"),(AE85-(+AE85*W86)),IF(T86="Impacto",(P85-(+P85*W86)),IF(T86="Probabilidad",AE85,""))),"")</f>
        <v>0.6</v>
      </c>
      <c r="AF86" s="180" t="str">
        <f t="shared" ref="AF86:AF87" si="72">IFERROR(IF(OR(AND(AB86="Muy Baja",AD86="Leve"),AND(AB86="Muy Baja",AD86="Menor"),AND(AB86="Baja",AD86="Leve")),"Bajo",IF(OR(AND(AB86="Muy baja",AD86="Moderado"),AND(AB86="Baja",AD86="Menor"),AND(AB86="Baja",AD86="Moderado"),AND(AB86="Media",AD86="Leve"),AND(AB86="Media",AD86="Menor"),AND(AB86="Media",AD86="Moderado"),AND(AB86="Alta",AD86="Leve"),AND(AB86="Alta",AD86="Menor")),"Moderado",IF(OR(AND(AB86="Muy Baja",AD86="Mayor"),AND(AB86="Baja",AD86="Mayor"),AND(AB86="Media",AD86="Mayor"),AND(AB86="Alta",AD86="Moderado"),AND(AB86="Alta",AD86="Mayor"),AND(AB86="Muy Alta",AD86="Leve"),AND(AB86="Muy Alta",AD86="Menor"),AND(AB86="Muy Alta",AD86="Moderado"),AND(AB86="Muy Alta",AD86="Mayor")),"Alto",IF(OR(AND(AB86="Muy Baja",AD86="Catastrófico"),AND(AB86="Baja",AD86="Catastrófico"),AND(AB86="Media",AD86="Catastrófico"),AND(AB86="Alta",AD86="Catastrófico"),AND(AB86="Muy Alta",AD86="Catastrófico")),"Extremo","")))),"")</f>
        <v>Moderado</v>
      </c>
      <c r="AG86" s="171" t="s">
        <v>131</v>
      </c>
      <c r="AH86" s="206" t="s">
        <v>430</v>
      </c>
      <c r="AI86" s="206" t="s">
        <v>306</v>
      </c>
      <c r="AJ86" s="206" t="s">
        <v>307</v>
      </c>
      <c r="AK86" s="206" t="s">
        <v>343</v>
      </c>
      <c r="AL86" s="206" t="s">
        <v>343</v>
      </c>
      <c r="AM86" s="206" t="s">
        <v>343</v>
      </c>
      <c r="AN86" s="206" t="s">
        <v>343</v>
      </c>
      <c r="AO86" s="206" t="s">
        <v>343</v>
      </c>
      <c r="AP86" s="206" t="s">
        <v>343</v>
      </c>
      <c r="AQ86" s="207" t="s">
        <v>39</v>
      </c>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row>
    <row r="87" spans="1:75" ht="35.1" customHeight="1" x14ac:dyDescent="0.3">
      <c r="A87" s="313"/>
      <c r="B87" s="293"/>
      <c r="C87" s="293"/>
      <c r="D87" s="293"/>
      <c r="E87" s="293"/>
      <c r="F87" s="184" t="s">
        <v>431</v>
      </c>
      <c r="G87" s="293"/>
      <c r="H87" s="153"/>
      <c r="I87" s="293"/>
      <c r="J87" s="295"/>
      <c r="K87" s="288"/>
      <c r="L87" s="291"/>
      <c r="M87" s="303"/>
      <c r="N87" s="291">
        <f>IF(NOT(ISERROR(MATCH(M87,_xlfn.ANCHORARRAY(H98),0))),L100&amp;"Por favor no seleccionar los criterios de impacto",M87)</f>
        <v>0</v>
      </c>
      <c r="O87" s="288"/>
      <c r="P87" s="291"/>
      <c r="Q87" s="284"/>
      <c r="R87" s="163">
        <v>3</v>
      </c>
      <c r="S87" s="174"/>
      <c r="T87" s="164" t="str">
        <f>IF(OR(U87="Preventivo",U87="Detectivo"),"Probabilidad",IF(U87="Correctivo","Impacto",""))</f>
        <v/>
      </c>
      <c r="U87" s="178"/>
      <c r="V87" s="178"/>
      <c r="W87" s="166" t="str">
        <f t="shared" si="70"/>
        <v/>
      </c>
      <c r="X87" s="178"/>
      <c r="Y87" s="178"/>
      <c r="Z87" s="178"/>
      <c r="AA87" s="167" t="str">
        <f>IFERROR(IF(AND(T86="Probabilidad",T87="Probabilidad"),(AC86-(+AC86*W87)),IF(AND(T86="Impacto",T87="Probabilidad"),(AC85-(+AC85*W87)),IF(T87="Impacto",AC86,""))),"")</f>
        <v/>
      </c>
      <c r="AB87" s="179" t="str">
        <f t="shared" si="30"/>
        <v/>
      </c>
      <c r="AC87" s="169" t="str">
        <f t="shared" si="71"/>
        <v/>
      </c>
      <c r="AD87" s="179" t="str">
        <f t="shared" si="32"/>
        <v/>
      </c>
      <c r="AE87" s="169" t="str">
        <f>IFERROR(IF(AND(T86="Impacto",T87="Impacto"),(AE86-(+AE86*W87)),IF(AND(T86="Probabilidad",T87="Impacto"),(AE85-(+AE85*W87)),IF(T87="Probabilidad",AE86,""))),"")</f>
        <v/>
      </c>
      <c r="AF87" s="180" t="str">
        <f t="shared" si="72"/>
        <v/>
      </c>
      <c r="AG87" s="171"/>
      <c r="AH87" s="206"/>
      <c r="AI87" s="206"/>
      <c r="AJ87" s="206"/>
      <c r="AK87" s="206"/>
      <c r="AL87" s="206"/>
      <c r="AM87" s="207"/>
      <c r="AN87" s="209"/>
      <c r="AO87" s="209"/>
      <c r="AP87" s="206"/>
      <c r="AQ87" s="207"/>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row>
    <row r="88" spans="1:75" ht="35.1" customHeight="1" x14ac:dyDescent="0.3">
      <c r="A88" s="313"/>
      <c r="B88" s="293"/>
      <c r="C88" s="293"/>
      <c r="D88" s="293"/>
      <c r="E88" s="293"/>
      <c r="F88" s="152"/>
      <c r="G88" s="293"/>
      <c r="H88" s="153"/>
      <c r="I88" s="293"/>
      <c r="J88" s="295"/>
      <c r="K88" s="288"/>
      <c r="L88" s="291"/>
      <c r="M88" s="303"/>
      <c r="N88" s="291">
        <f>IF(NOT(ISERROR(MATCH(M88,_xlfn.ANCHORARRAY(H99),0))),L101&amp;"Por favor no seleccionar los criterios de impacto",M88)</f>
        <v>0</v>
      </c>
      <c r="O88" s="288"/>
      <c r="P88" s="291"/>
      <c r="Q88" s="284"/>
      <c r="R88" s="163">
        <v>4</v>
      </c>
      <c r="S88" s="208"/>
      <c r="T88" s="164" t="str">
        <f t="shared" ref="T88:T90" si="73">IF(OR(U88="Preventivo",U88="Detectivo"),"Probabilidad",IF(U88="Correctivo","Impacto",""))</f>
        <v/>
      </c>
      <c r="U88" s="178"/>
      <c r="V88" s="178"/>
      <c r="W88" s="166" t="str">
        <f t="shared" si="70"/>
        <v/>
      </c>
      <c r="X88" s="178"/>
      <c r="Y88" s="178"/>
      <c r="Z88" s="178"/>
      <c r="AA88" s="167" t="str">
        <f>IFERROR(IF(AND(T87="Probabilidad",T88="Probabilidad"),(AC87-(+AC87*W88)),IF(AND(T87="Impacto",T88="Probabilidad"),(AC86-(+AC86*W88)),IF(T88="Impacto",AC87,""))),"")</f>
        <v/>
      </c>
      <c r="AB88" s="179" t="str">
        <f t="shared" si="30"/>
        <v/>
      </c>
      <c r="AC88" s="169" t="str">
        <f t="shared" si="71"/>
        <v/>
      </c>
      <c r="AD88" s="179" t="str">
        <f t="shared" si="32"/>
        <v/>
      </c>
      <c r="AE88" s="169" t="str">
        <f>IFERROR(IF(AND(T87="Impacto",T88="Impacto"),(AE87-(+AE87*W88)),IF(AND(T87="Probabilidad",T88="Impacto"),(AE86-(+AE86*W88)),IF(T88="Probabilidad",AE87,""))),"")</f>
        <v/>
      </c>
      <c r="AF88" s="180" t="str">
        <f>IFERROR(IF(OR(AND(AB88="Muy Baja",AD88="Leve"),AND(AB88="Muy Baja",AD88="Menor"),AND(AB88="Baja",AD88="Leve")),"Bajo",IF(OR(AND(AB88="Muy baja",AD88="Moderado"),AND(AB88="Baja",AD88="Menor"),AND(AB88="Baja",AD88="Moderado"),AND(AB88="Media",AD88="Leve"),AND(AB88="Media",AD88="Menor"),AND(AB88="Media",AD88="Moderado"),AND(AB88="Alta",AD88="Leve"),AND(AB88="Alta",AD88="Menor")),"Moderado",IF(OR(AND(AB88="Muy Baja",AD88="Mayor"),AND(AB88="Baja",AD88="Mayor"),AND(AB88="Media",AD88="Mayor"),AND(AB88="Alta",AD88="Moderado"),AND(AB88="Alta",AD88="Mayor"),AND(AB88="Muy Alta",AD88="Leve"),AND(AB88="Muy Alta",AD88="Menor"),AND(AB88="Muy Alta",AD88="Moderado"),AND(AB88="Muy Alta",AD88="Mayor")),"Alto",IF(OR(AND(AB88="Muy Baja",AD88="Catastrófico"),AND(AB88="Baja",AD88="Catastrófico"),AND(AB88="Media",AD88="Catastrófico"),AND(AB88="Alta",AD88="Catastrófico"),AND(AB88="Muy Alta",AD88="Catastrófico")),"Extremo","")))),"")</f>
        <v/>
      </c>
      <c r="AG88" s="171"/>
      <c r="AH88" s="206"/>
      <c r="AI88" s="206"/>
      <c r="AJ88" s="206"/>
      <c r="AK88" s="206"/>
      <c r="AL88" s="206"/>
      <c r="AM88" s="207"/>
      <c r="AN88" s="209"/>
      <c r="AO88" s="209"/>
      <c r="AP88" s="206"/>
      <c r="AQ88" s="207"/>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row>
    <row r="89" spans="1:75" ht="35.1" customHeight="1" x14ac:dyDescent="0.3">
      <c r="A89" s="313"/>
      <c r="B89" s="293"/>
      <c r="C89" s="293"/>
      <c r="D89" s="293"/>
      <c r="E89" s="293"/>
      <c r="F89" s="152"/>
      <c r="G89" s="293"/>
      <c r="H89" s="153"/>
      <c r="I89" s="293"/>
      <c r="J89" s="295"/>
      <c r="K89" s="288"/>
      <c r="L89" s="291"/>
      <c r="M89" s="303"/>
      <c r="N89" s="291">
        <f>IF(NOT(ISERROR(MATCH(M89,_xlfn.ANCHORARRAY(H100),0))),L102&amp;"Por favor no seleccionar los criterios de impacto",M89)</f>
        <v>0</v>
      </c>
      <c r="O89" s="288"/>
      <c r="P89" s="291"/>
      <c r="Q89" s="284"/>
      <c r="R89" s="163">
        <v>5</v>
      </c>
      <c r="S89" s="208"/>
      <c r="T89" s="164" t="str">
        <f t="shared" si="73"/>
        <v/>
      </c>
      <c r="U89" s="178"/>
      <c r="V89" s="178"/>
      <c r="W89" s="166" t="str">
        <f t="shared" si="70"/>
        <v/>
      </c>
      <c r="X89" s="178"/>
      <c r="Y89" s="178"/>
      <c r="Z89" s="178"/>
      <c r="AA89" s="167" t="str">
        <f>IFERROR(IF(AND(T88="Probabilidad",T89="Probabilidad"),(AC88-(+AC88*W89)),IF(AND(T88="Impacto",T89="Probabilidad"),(AC87-(+AC87*W89)),IF(T89="Impacto",AC88,""))),"")</f>
        <v/>
      </c>
      <c r="AB89" s="179" t="str">
        <f t="shared" si="30"/>
        <v/>
      </c>
      <c r="AC89" s="169" t="str">
        <f t="shared" si="71"/>
        <v/>
      </c>
      <c r="AD89" s="179" t="str">
        <f t="shared" si="32"/>
        <v/>
      </c>
      <c r="AE89" s="169" t="str">
        <f>IFERROR(IF(AND(T88="Impacto",T89="Impacto"),(AE88-(+AE88*W89)),IF(AND(T88="Probabilidad",T89="Impacto"),(AE87-(+AE87*W89)),IF(T89="Probabilidad",AE88,""))),"")</f>
        <v/>
      </c>
      <c r="AF89" s="180" t="str">
        <f t="shared" ref="AF89:AF90" si="74">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
      </c>
      <c r="AG89" s="171"/>
      <c r="AH89" s="206"/>
      <c r="AI89" s="206"/>
      <c r="AJ89" s="206"/>
      <c r="AK89" s="206"/>
      <c r="AL89" s="206"/>
      <c r="AM89" s="207"/>
      <c r="AN89" s="209"/>
      <c r="AO89" s="209"/>
      <c r="AP89" s="206"/>
      <c r="AQ89" s="207"/>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row>
    <row r="90" spans="1:75" ht="35.1" customHeight="1" x14ac:dyDescent="0.3">
      <c r="A90" s="314"/>
      <c r="B90" s="294"/>
      <c r="C90" s="294"/>
      <c r="D90" s="294"/>
      <c r="E90" s="294"/>
      <c r="F90" s="162"/>
      <c r="G90" s="294"/>
      <c r="H90" s="175"/>
      <c r="I90" s="294"/>
      <c r="J90" s="296"/>
      <c r="K90" s="289"/>
      <c r="L90" s="292"/>
      <c r="M90" s="304"/>
      <c r="N90" s="292">
        <f>IF(NOT(ISERROR(MATCH(M90,_xlfn.ANCHORARRAY(H101),0))),#REF!&amp;"Por favor no seleccionar los criterios de impacto",M90)</f>
        <v>0</v>
      </c>
      <c r="O90" s="289"/>
      <c r="P90" s="292"/>
      <c r="Q90" s="285"/>
      <c r="R90" s="163">
        <v>6</v>
      </c>
      <c r="S90" s="208"/>
      <c r="T90" s="164" t="str">
        <f t="shared" si="73"/>
        <v/>
      </c>
      <c r="U90" s="178"/>
      <c r="V90" s="178"/>
      <c r="W90" s="166" t="str">
        <f t="shared" si="70"/>
        <v/>
      </c>
      <c r="X90" s="178"/>
      <c r="Y90" s="178"/>
      <c r="Z90" s="178"/>
      <c r="AA90" s="167" t="str">
        <f>IFERROR(IF(AND(T89="Probabilidad",T90="Probabilidad"),(AC89-(+AC89*W90)),IF(AND(T89="Impacto",T90="Probabilidad"),(AC88-(+AC88*W90)),IF(T90="Impacto",AC89,""))),"")</f>
        <v/>
      </c>
      <c r="AB90" s="179" t="str">
        <f t="shared" si="30"/>
        <v/>
      </c>
      <c r="AC90" s="169" t="str">
        <f t="shared" si="71"/>
        <v/>
      </c>
      <c r="AD90" s="179" t="str">
        <f t="shared" si="32"/>
        <v/>
      </c>
      <c r="AE90" s="169" t="str">
        <f>IFERROR(IF(AND(T89="Impacto",T90="Impacto"),(AE89-(+AE89*W90)),IF(AND(T89="Probabilidad",T90="Impacto"),(AE88-(+AE88*W90)),IF(T90="Probabilidad",AE89,""))),"")</f>
        <v/>
      </c>
      <c r="AF90" s="180" t="str">
        <f t="shared" si="74"/>
        <v/>
      </c>
      <c r="AG90" s="171"/>
      <c r="AH90" s="206"/>
      <c r="AI90" s="206"/>
      <c r="AJ90" s="206"/>
      <c r="AK90" s="206"/>
      <c r="AL90" s="206"/>
      <c r="AM90" s="207"/>
      <c r="AN90" s="209"/>
      <c r="AO90" s="209"/>
      <c r="AP90" s="206"/>
      <c r="AQ90" s="207"/>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row>
    <row r="91" spans="1:75" ht="35.1" customHeight="1" x14ac:dyDescent="0.3">
      <c r="A91" s="312">
        <v>9</v>
      </c>
      <c r="B91" s="311" t="s">
        <v>127</v>
      </c>
      <c r="C91" s="311" t="s">
        <v>244</v>
      </c>
      <c r="D91" s="320" t="s">
        <v>248</v>
      </c>
      <c r="E91" s="320" t="s">
        <v>261</v>
      </c>
      <c r="F91" s="185" t="s">
        <v>432</v>
      </c>
      <c r="G91" s="320" t="s">
        <v>433</v>
      </c>
      <c r="H91" s="177" t="s">
        <v>434</v>
      </c>
      <c r="I91" s="311" t="s">
        <v>120</v>
      </c>
      <c r="J91" s="308">
        <v>12</v>
      </c>
      <c r="K91" s="287" t="str">
        <f>IF(J91&lt;=0,"",IF(J91&lt;=2,"Muy Baja",IF(J91&lt;=24,"Baja",IF(J91&lt;=500,"Media",IF(J91&lt;=5000,"Alta","Muy Alta")))))</f>
        <v>Baja</v>
      </c>
      <c r="L91" s="290">
        <f>IF(K91="","",IF(K91="Muy Baja",0.2,IF(K91="Baja",0.4,IF(K91="Media",0.6,IF(K91="Alta",0.8,IF(K91="Muy Alta",1,))))))</f>
        <v>0.4</v>
      </c>
      <c r="M91" s="305" t="s">
        <v>148</v>
      </c>
      <c r="N91" s="290" t="str">
        <f>IF(NOT(ISERROR(MATCH(M91,'[2]Tabla Impacto'!$B$221:$B$223,0))),'[2]Tabla Impacto'!$F$223&amp;"Por favor no seleccionar los criterios de impacto(Afectación Económica o presupuestal y Pérdida Reputacional)",M91)</f>
        <v xml:space="preserve">     El riesgo afecta la imagen de la entidad con algunos usuarios de relevancia frente al logro de los objetivos</v>
      </c>
      <c r="O91" s="287" t="str">
        <f>IF(OR(N91='[2]Tabla Impacto'!$C$11,N91='[2]Tabla Impacto'!$D$11),"Leve",IF(OR(N91='[2]Tabla Impacto'!$C$12,N91='[2]Tabla Impacto'!$D$12),"Menor",IF(OR(N91='[2]Tabla Impacto'!$C$13,N91='[2]Tabla Impacto'!$D$13),"Moderado",IF(OR(N91='[2]Tabla Impacto'!$C$14,N91='[2]Tabla Impacto'!$D$14),"Mayor",IF(OR(N91='[2]Tabla Impacto'!$C$15,N91='[2]Tabla Impacto'!$D$15),"Catastrófico","")))))</f>
        <v>Moderado</v>
      </c>
      <c r="P91" s="290">
        <f>IF(O91="","",IF(O91="Leve",0.2,IF(O91="Menor",0.4,IF(O91="Moderado",0.6,IF(O91="Mayor",0.8,IF(O91="Catastrófico",1,))))))</f>
        <v>0.6</v>
      </c>
      <c r="Q91" s="283" t="str">
        <f>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Moderado</v>
      </c>
      <c r="R91" s="212">
        <v>1</v>
      </c>
      <c r="S91" s="211" t="s">
        <v>435</v>
      </c>
      <c r="T91" s="213" t="str">
        <f>IF(OR(U91="Preventivo",U91="Detectivo"),"Probabilidad",IF(U91="Correctivo","Impacto",""))</f>
        <v>Probabilidad</v>
      </c>
      <c r="U91" s="165" t="s">
        <v>14</v>
      </c>
      <c r="V91" s="165" t="s">
        <v>8</v>
      </c>
      <c r="W91" s="166" t="str">
        <f>IF(AND(U91="Preventivo",V91="Automático"),"50%",IF(AND(U91="Preventivo",V91="Manual"),"40%",IF(AND(U91="Detectivo",V91="Automático"),"40%",IF(AND(U91="Detectivo",V91="Manual"),"30%",IF(AND(U91="Correctivo",V91="Automático"),"35%",IF(AND(U91="Correctivo",V91="Manual"),"25%",""))))))</f>
        <v>30%</v>
      </c>
      <c r="X91" s="165" t="s">
        <v>18</v>
      </c>
      <c r="Y91" s="165" t="s">
        <v>22</v>
      </c>
      <c r="Z91" s="165" t="s">
        <v>116</v>
      </c>
      <c r="AA91" s="167">
        <f>IFERROR(IF(T91="Probabilidad",(L91-(+L91*W91)),IF(T91="Impacto",L91,"")),"")</f>
        <v>0.28000000000000003</v>
      </c>
      <c r="AB91" s="168" t="str">
        <f>IFERROR(IF(AA91="","",IF(AA91&lt;=0.2,"Muy Baja",IF(AA91&lt;=0.4,"Baja",IF(AA91&lt;=0.6,"Media",IF(AA91&lt;=0.8,"Alta","Muy Alta"))))),"")</f>
        <v>Baja</v>
      </c>
      <c r="AC91" s="169">
        <f>+AA91</f>
        <v>0.28000000000000003</v>
      </c>
      <c r="AD91" s="214" t="str">
        <f>IFERROR(IF(AE91="","",IF(AE91&lt;=0.2,"Leve",IF(AE91&lt;=0.4,"Menor",IF(AE91&lt;=0.6,"Moderado",IF(AE91&lt;=0.8,"Mayor","Catastrófico"))))),"")</f>
        <v>Moderado</v>
      </c>
      <c r="AE91" s="215">
        <f>IFERROR(IF(T91="Impacto",(P91-(+P91*W91)),IF(T91="Probabilidad",P91,"")),"")</f>
        <v>0.6</v>
      </c>
      <c r="AF91" s="216" t="str">
        <f>IFERROR(IF(OR(AND(AB91="Muy Baja",AD91="Leve"),AND(AB91="Muy Baja",AD91="Menor"),AND(AB91="Baja",AD91="Leve")),"Bajo",IF(OR(AND(AB91="Muy baja",AD91="Moderado"),AND(AB91="Baja",AD91="Menor"),AND(AB91="Baja",AD91="Moderado"),AND(AB91="Media",AD91="Leve"),AND(AB91="Media",AD91="Menor"),AND(AB91="Media",AD91="Moderado"),AND(AB91="Alta",AD91="Leve"),AND(AB91="Alta",AD91="Menor")),"Moderado",IF(OR(AND(AB91="Muy Baja",AD91="Mayor"),AND(AB91="Baja",AD91="Mayor"),AND(AB91="Media",AD91="Mayor"),AND(AB91="Alta",AD91="Moderado"),AND(AB91="Alta",AD91="Mayor"),AND(AB91="Muy Alta",AD91="Leve"),AND(AB91="Muy Alta",AD91="Menor"),AND(AB91="Muy Alta",AD91="Moderado"),AND(AB91="Muy Alta",AD91="Mayor")),"Alto",IF(OR(AND(AB91="Muy Baja",AD91="Catastrófico"),AND(AB91="Baja",AD91="Catastrófico"),AND(AB91="Media",AD91="Catastrófico"),AND(AB91="Alta",AD91="Catastrófico"),AND(AB91="Muy Alta",AD91="Catastrófico")),"Extremo","")))),"")</f>
        <v>Moderado</v>
      </c>
      <c r="AG91" s="217" t="s">
        <v>131</v>
      </c>
      <c r="AH91" s="206" t="s">
        <v>436</v>
      </c>
      <c r="AI91" s="206" t="s">
        <v>306</v>
      </c>
      <c r="AJ91" s="206" t="s">
        <v>307</v>
      </c>
      <c r="AK91" s="206" t="s">
        <v>343</v>
      </c>
      <c r="AL91" s="206" t="s">
        <v>343</v>
      </c>
      <c r="AM91" s="206" t="s">
        <v>343</v>
      </c>
      <c r="AN91" s="206" t="s">
        <v>343</v>
      </c>
      <c r="AO91" s="206" t="s">
        <v>343</v>
      </c>
      <c r="AP91" s="206" t="s">
        <v>343</v>
      </c>
      <c r="AQ91" s="207" t="s">
        <v>39</v>
      </c>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row>
    <row r="92" spans="1:75" ht="35.1" customHeight="1" x14ac:dyDescent="0.3">
      <c r="A92" s="313"/>
      <c r="B92" s="293"/>
      <c r="C92" s="293"/>
      <c r="D92" s="293"/>
      <c r="E92" s="293"/>
      <c r="F92" s="184" t="s">
        <v>437</v>
      </c>
      <c r="G92" s="293"/>
      <c r="H92" s="196" t="s">
        <v>438</v>
      </c>
      <c r="I92" s="293"/>
      <c r="J92" s="295"/>
      <c r="K92" s="288"/>
      <c r="L92" s="291"/>
      <c r="M92" s="303"/>
      <c r="N92" s="291">
        <f>IF(NOT(ISERROR(MATCH(M92,_xlfn.ANCHORARRAY(#REF!),0))),#REF!&amp;"Por favor no seleccionar los criterios de impacto",M92)</f>
        <v>0</v>
      </c>
      <c r="O92" s="288"/>
      <c r="P92" s="291"/>
      <c r="Q92" s="284"/>
      <c r="R92" s="212">
        <v>2</v>
      </c>
      <c r="S92" s="218" t="s">
        <v>439</v>
      </c>
      <c r="T92" s="213" t="str">
        <f>IF(OR(U92="Preventivo",U92="Detectivo"),"Probabilidad",IF(U92="Correctivo","Impacto",""))</f>
        <v>Probabilidad</v>
      </c>
      <c r="U92" s="165" t="s">
        <v>14</v>
      </c>
      <c r="V92" s="165" t="s">
        <v>8</v>
      </c>
      <c r="W92" s="166" t="str">
        <f t="shared" ref="W92:W96" si="75">IF(AND(U92="Preventivo",V92="Automático"),"50%",IF(AND(U92="Preventivo",V92="Manual"),"40%",IF(AND(U92="Detectivo",V92="Automático"),"40%",IF(AND(U92="Detectivo",V92="Manual"),"30%",IF(AND(U92="Correctivo",V92="Automático"),"35%",IF(AND(U92="Correctivo",V92="Manual"),"25%",""))))))</f>
        <v>30%</v>
      </c>
      <c r="X92" s="165" t="s">
        <v>18</v>
      </c>
      <c r="Y92" s="165" t="s">
        <v>21</v>
      </c>
      <c r="Z92" s="165" t="s">
        <v>116</v>
      </c>
      <c r="AA92" s="167">
        <f>IFERROR(IF(AND(T91="Probabilidad",T92="Probabilidad"),(AC91-(+AC91*W92)),IF(T92="Probabilidad",(L91-(+L91*W92)),IF(T92="Impacto",AC91,""))),"")</f>
        <v>0.19600000000000001</v>
      </c>
      <c r="AB92" s="168" t="str">
        <f t="shared" si="30"/>
        <v>Muy Baja</v>
      </c>
      <c r="AC92" s="169">
        <f t="shared" ref="AC92:AC96" si="76">+AA92</f>
        <v>0.19600000000000001</v>
      </c>
      <c r="AD92" s="214" t="str">
        <f t="shared" si="32"/>
        <v>Moderado</v>
      </c>
      <c r="AE92" s="215">
        <f>IFERROR(IF(AND(T91="Impacto",T92="Impacto"),(AE91-(+AE91*W92)),IF(T92="Impacto",(P91-(+P91*W92)),IF(T92="Probabilidad",AE91,""))),"")</f>
        <v>0.6</v>
      </c>
      <c r="AF92" s="216" t="str">
        <f t="shared" ref="AF92:AF93" si="77">IFERROR(IF(OR(AND(AB92="Muy Baja",AD92="Leve"),AND(AB92="Muy Baja",AD92="Menor"),AND(AB92="Baja",AD92="Leve")),"Bajo",IF(OR(AND(AB92="Muy baja",AD92="Moderado"),AND(AB92="Baja",AD92="Menor"),AND(AB92="Baja",AD92="Moderado"),AND(AB92="Media",AD92="Leve"),AND(AB92="Media",AD92="Menor"),AND(AB92="Media",AD92="Moderado"),AND(AB92="Alta",AD92="Leve"),AND(AB92="Alta",AD92="Menor")),"Moderado",IF(OR(AND(AB92="Muy Baja",AD92="Mayor"),AND(AB92="Baja",AD92="Mayor"),AND(AB92="Media",AD92="Mayor"),AND(AB92="Alta",AD92="Moderado"),AND(AB92="Alta",AD92="Mayor"),AND(AB92="Muy Alta",AD92="Leve"),AND(AB92="Muy Alta",AD92="Menor"),AND(AB92="Muy Alta",AD92="Moderado"),AND(AB92="Muy Alta",AD92="Mayor")),"Alto",IF(OR(AND(AB92="Muy Baja",AD92="Catastrófico"),AND(AB92="Baja",AD92="Catastrófico"),AND(AB92="Media",AD92="Catastrófico"),AND(AB92="Alta",AD92="Catastrófico"),AND(AB92="Muy Alta",AD92="Catastrófico")),"Extremo","")))),"")</f>
        <v>Moderado</v>
      </c>
      <c r="AG92" s="217" t="s">
        <v>131</v>
      </c>
      <c r="AH92" s="206" t="s">
        <v>440</v>
      </c>
      <c r="AI92" s="206" t="s">
        <v>306</v>
      </c>
      <c r="AJ92" s="206" t="s">
        <v>307</v>
      </c>
      <c r="AK92" s="206" t="s">
        <v>343</v>
      </c>
      <c r="AL92" s="206" t="s">
        <v>343</v>
      </c>
      <c r="AM92" s="206" t="s">
        <v>343</v>
      </c>
      <c r="AN92" s="206" t="s">
        <v>343</v>
      </c>
      <c r="AO92" s="206" t="s">
        <v>343</v>
      </c>
      <c r="AP92" s="206" t="s">
        <v>343</v>
      </c>
      <c r="AQ92" s="207" t="s">
        <v>39</v>
      </c>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row>
    <row r="93" spans="1:75" ht="35.1" customHeight="1" x14ac:dyDescent="0.3">
      <c r="A93" s="313"/>
      <c r="B93" s="293"/>
      <c r="C93" s="293"/>
      <c r="D93" s="293"/>
      <c r="E93" s="293"/>
      <c r="F93" s="184" t="s">
        <v>441</v>
      </c>
      <c r="G93" s="293"/>
      <c r="H93" s="219"/>
      <c r="I93" s="293"/>
      <c r="J93" s="295"/>
      <c r="K93" s="288"/>
      <c r="L93" s="291"/>
      <c r="M93" s="303"/>
      <c r="N93" s="291">
        <f>IF(NOT(ISERROR(MATCH(M93,_xlfn.ANCHORARRAY(#REF!),0))),#REF!&amp;"Por favor no seleccionar los criterios de impacto",M93)</f>
        <v>0</v>
      </c>
      <c r="O93" s="288"/>
      <c r="P93" s="291"/>
      <c r="Q93" s="284"/>
      <c r="R93" s="212">
        <v>3</v>
      </c>
      <c r="S93" s="220"/>
      <c r="T93" s="213" t="str">
        <f>IF(OR(U93="Preventivo",U93="Detectivo"),"Probabilidad",IF(U93="Correctivo","Impacto",""))</f>
        <v/>
      </c>
      <c r="U93" s="221"/>
      <c r="V93" s="221"/>
      <c r="W93" s="222" t="str">
        <f t="shared" si="75"/>
        <v/>
      </c>
      <c r="X93" s="221"/>
      <c r="Y93" s="221"/>
      <c r="Z93" s="221"/>
      <c r="AA93" s="223" t="str">
        <f>IFERROR(IF(AND(T92="Probabilidad",T93="Probabilidad"),(AC92-(+AC92*W93)),IF(AND(T92="Impacto",T93="Probabilidad"),(AC91-(+AC91*W93)),IF(T93="Impacto",AC92,""))),"")</f>
        <v/>
      </c>
      <c r="AB93" s="214" t="str">
        <f t="shared" si="30"/>
        <v/>
      </c>
      <c r="AC93" s="215" t="str">
        <f t="shared" si="76"/>
        <v/>
      </c>
      <c r="AD93" s="214" t="str">
        <f t="shared" si="32"/>
        <v/>
      </c>
      <c r="AE93" s="215" t="str">
        <f>IFERROR(IF(AND(T92="Impacto",T93="Impacto"),(AE92-(+AE92*W93)),IF(AND(T92="Probabilidad",T93="Impacto"),(AE91-(+AE91*W93)),IF(T93="Probabilidad",AE92,""))),"")</f>
        <v/>
      </c>
      <c r="AF93" s="216" t="str">
        <f t="shared" si="77"/>
        <v/>
      </c>
      <c r="AG93" s="217"/>
      <c r="AH93" s="206"/>
      <c r="AI93" s="206"/>
      <c r="AJ93" s="206"/>
      <c r="AK93" s="206"/>
      <c r="AL93" s="206"/>
      <c r="AM93" s="207"/>
      <c r="AN93" s="209"/>
      <c r="AO93" s="209"/>
      <c r="AP93" s="206"/>
      <c r="AQ93" s="207"/>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row>
    <row r="94" spans="1:75" ht="49.5" customHeight="1" x14ac:dyDescent="0.3">
      <c r="A94" s="313"/>
      <c r="B94" s="293"/>
      <c r="C94" s="293"/>
      <c r="D94" s="293"/>
      <c r="E94" s="293"/>
      <c r="F94" s="224"/>
      <c r="G94" s="293"/>
      <c r="H94" s="219"/>
      <c r="I94" s="293"/>
      <c r="J94" s="295"/>
      <c r="K94" s="288"/>
      <c r="L94" s="291"/>
      <c r="M94" s="303"/>
      <c r="N94" s="291">
        <f>IF(NOT(ISERROR(MATCH(M94,_xlfn.ANCHORARRAY(#REF!),0))),#REF!&amp;"Por favor no seleccionar los criterios de impacto",M94)</f>
        <v>0</v>
      </c>
      <c r="O94" s="288"/>
      <c r="P94" s="291"/>
      <c r="Q94" s="284"/>
      <c r="R94" s="212">
        <v>4</v>
      </c>
      <c r="S94" s="225"/>
      <c r="T94" s="213" t="str">
        <f t="shared" ref="T94:T96" si="78">IF(OR(U94="Preventivo",U94="Detectivo"),"Probabilidad",IF(U94="Correctivo","Impacto",""))</f>
        <v/>
      </c>
      <c r="U94" s="221"/>
      <c r="V94" s="221"/>
      <c r="W94" s="222" t="str">
        <f t="shared" si="75"/>
        <v/>
      </c>
      <c r="X94" s="221"/>
      <c r="Y94" s="221"/>
      <c r="Z94" s="221"/>
      <c r="AA94" s="223" t="str">
        <f>IFERROR(IF(AND(T93="Probabilidad",T94="Probabilidad"),(AC93-(+AC93*W94)),IF(AND(T93="Impacto",T94="Probabilidad"),(AC92-(+AC92*W94)),IF(T94="Impacto",AC93,""))),"")</f>
        <v/>
      </c>
      <c r="AB94" s="214" t="str">
        <f t="shared" si="30"/>
        <v/>
      </c>
      <c r="AC94" s="215" t="str">
        <f t="shared" si="76"/>
        <v/>
      </c>
      <c r="AD94" s="214" t="str">
        <f t="shared" si="32"/>
        <v/>
      </c>
      <c r="AE94" s="215" t="str">
        <f>IFERROR(IF(AND(T93="Impacto",T94="Impacto"),(AE93-(+AE93*W94)),IF(AND(T93="Probabilidad",T94="Impacto"),(AE92-(+AE92*W94)),IF(T94="Probabilidad",AE93,""))),"")</f>
        <v/>
      </c>
      <c r="AF94" s="216" t="str">
        <f>IFERROR(IF(OR(AND(AB94="Muy Baja",AD94="Leve"),AND(AB94="Muy Baja",AD94="Menor"),AND(AB94="Baja",AD94="Leve")),"Bajo",IF(OR(AND(AB94="Muy baja",AD94="Moderado"),AND(AB94="Baja",AD94="Menor"),AND(AB94="Baja",AD94="Moderado"),AND(AB94="Media",AD94="Leve"),AND(AB94="Media",AD94="Menor"),AND(AB94="Media",AD94="Moderado"),AND(AB94="Alta",AD94="Leve"),AND(AB94="Alta",AD94="Menor")),"Moderado",IF(OR(AND(AB94="Muy Baja",AD94="Mayor"),AND(AB94="Baja",AD94="Mayor"),AND(AB94="Media",AD94="Mayor"),AND(AB94="Alta",AD94="Moderado"),AND(AB94="Alta",AD94="Mayor"),AND(AB94="Muy Alta",AD94="Leve"),AND(AB94="Muy Alta",AD94="Menor"),AND(AB94="Muy Alta",AD94="Moderado"),AND(AB94="Muy Alta",AD94="Mayor")),"Alto",IF(OR(AND(AB94="Muy Baja",AD94="Catastrófico"),AND(AB94="Baja",AD94="Catastrófico"),AND(AB94="Media",AD94="Catastrófico"),AND(AB94="Alta",AD94="Catastrófico"),AND(AB94="Muy Alta",AD94="Catastrófico")),"Extremo","")))),"")</f>
        <v/>
      </c>
      <c r="AG94" s="217"/>
      <c r="AH94" s="206"/>
      <c r="AI94" s="206"/>
      <c r="AJ94" s="206"/>
      <c r="AK94" s="206"/>
      <c r="AL94" s="206"/>
      <c r="AM94" s="207"/>
      <c r="AN94" s="209"/>
      <c r="AO94" s="209"/>
      <c r="AP94" s="206"/>
      <c r="AQ94" s="207"/>
    </row>
    <row r="95" spans="1:75" x14ac:dyDescent="0.3">
      <c r="A95" s="313"/>
      <c r="B95" s="293"/>
      <c r="C95" s="293"/>
      <c r="D95" s="293"/>
      <c r="E95" s="293"/>
      <c r="F95" s="224"/>
      <c r="G95" s="293"/>
      <c r="H95" s="219"/>
      <c r="I95" s="293"/>
      <c r="J95" s="295"/>
      <c r="K95" s="288"/>
      <c r="L95" s="291"/>
      <c r="M95" s="303"/>
      <c r="N95" s="291">
        <f>IF(NOT(ISERROR(MATCH(M95,_xlfn.ANCHORARRAY(#REF!),0))),#REF!&amp;"Por favor no seleccionar los criterios de impacto",M95)</f>
        <v>0</v>
      </c>
      <c r="O95" s="288"/>
      <c r="P95" s="291"/>
      <c r="Q95" s="284"/>
      <c r="R95" s="212">
        <v>5</v>
      </c>
      <c r="S95" s="225"/>
      <c r="T95" s="213" t="str">
        <f t="shared" si="78"/>
        <v/>
      </c>
      <c r="U95" s="221"/>
      <c r="V95" s="221"/>
      <c r="W95" s="222" t="str">
        <f t="shared" si="75"/>
        <v/>
      </c>
      <c r="X95" s="221"/>
      <c r="Y95" s="221"/>
      <c r="Z95" s="221"/>
      <c r="AA95" s="223" t="str">
        <f>IFERROR(IF(AND(T94="Probabilidad",T95="Probabilidad"),(AC94-(+AC94*W95)),IF(AND(T94="Impacto",T95="Probabilidad"),(AC93-(+AC93*W95)),IF(T95="Impacto",AC94,""))),"")</f>
        <v/>
      </c>
      <c r="AB95" s="214" t="str">
        <f t="shared" si="30"/>
        <v/>
      </c>
      <c r="AC95" s="215" t="str">
        <f t="shared" si="76"/>
        <v/>
      </c>
      <c r="AD95" s="214" t="str">
        <f t="shared" si="32"/>
        <v/>
      </c>
      <c r="AE95" s="215" t="str">
        <f>IFERROR(IF(AND(T94="Impacto",T95="Impacto"),(AE94-(+AE94*W95)),IF(AND(T94="Probabilidad",T95="Impacto"),(AE93-(+AE93*W95)),IF(T95="Probabilidad",AE94,""))),"")</f>
        <v/>
      </c>
      <c r="AF95" s="216" t="str">
        <f t="shared" ref="AF95:AF96" si="79">IFERROR(IF(OR(AND(AB95="Muy Baja",AD95="Leve"),AND(AB95="Muy Baja",AD95="Menor"),AND(AB95="Baja",AD95="Leve")),"Bajo",IF(OR(AND(AB95="Muy baja",AD95="Moderado"),AND(AB95="Baja",AD95="Menor"),AND(AB95="Baja",AD95="Moderado"),AND(AB95="Media",AD95="Leve"),AND(AB95="Media",AD95="Menor"),AND(AB95="Media",AD95="Moderado"),AND(AB95="Alta",AD95="Leve"),AND(AB95="Alta",AD95="Menor")),"Moderado",IF(OR(AND(AB95="Muy Baja",AD95="Mayor"),AND(AB95="Baja",AD95="Mayor"),AND(AB95="Media",AD95="Mayor"),AND(AB95="Alta",AD95="Moderado"),AND(AB95="Alta",AD95="Mayor"),AND(AB95="Muy Alta",AD95="Leve"),AND(AB95="Muy Alta",AD95="Menor"),AND(AB95="Muy Alta",AD95="Moderado"),AND(AB95="Muy Alta",AD95="Mayor")),"Alto",IF(OR(AND(AB95="Muy Baja",AD95="Catastrófico"),AND(AB95="Baja",AD95="Catastrófico"),AND(AB95="Media",AD95="Catastrófico"),AND(AB95="Alta",AD95="Catastrófico"),AND(AB95="Muy Alta",AD95="Catastrófico")),"Extremo","")))),"")</f>
        <v/>
      </c>
      <c r="AG95" s="217"/>
      <c r="AH95" s="206"/>
      <c r="AI95" s="206"/>
      <c r="AJ95" s="206"/>
      <c r="AK95" s="206"/>
      <c r="AL95" s="206"/>
      <c r="AM95" s="207"/>
      <c r="AN95" s="209"/>
      <c r="AO95" s="209"/>
      <c r="AP95" s="206"/>
      <c r="AQ95" s="207"/>
    </row>
    <row r="96" spans="1:75" x14ac:dyDescent="0.3">
      <c r="A96" s="314"/>
      <c r="B96" s="294"/>
      <c r="C96" s="294"/>
      <c r="D96" s="294"/>
      <c r="E96" s="294"/>
      <c r="F96" s="226"/>
      <c r="G96" s="294"/>
      <c r="H96" s="227"/>
      <c r="I96" s="294"/>
      <c r="J96" s="296"/>
      <c r="K96" s="289"/>
      <c r="L96" s="292"/>
      <c r="M96" s="304"/>
      <c r="N96" s="292">
        <f>IF(NOT(ISERROR(MATCH(M96,_xlfn.ANCHORARRAY(#REF!),0))),#REF!&amp;"Por favor no seleccionar los criterios de impacto",M96)</f>
        <v>0</v>
      </c>
      <c r="O96" s="289"/>
      <c r="P96" s="292"/>
      <c r="Q96" s="285"/>
      <c r="R96" s="212">
        <v>6</v>
      </c>
      <c r="S96" s="225"/>
      <c r="T96" s="213" t="str">
        <f t="shared" si="78"/>
        <v/>
      </c>
      <c r="U96" s="221"/>
      <c r="V96" s="221"/>
      <c r="W96" s="222" t="str">
        <f t="shared" si="75"/>
        <v/>
      </c>
      <c r="X96" s="221"/>
      <c r="Y96" s="221"/>
      <c r="Z96" s="221"/>
      <c r="AA96" s="223" t="str">
        <f>IFERROR(IF(AND(T95="Probabilidad",T96="Probabilidad"),(AC95-(+AC95*W96)),IF(AND(T95="Impacto",T96="Probabilidad"),(AC94-(+AC94*W96)),IF(T96="Impacto",AC95,""))),"")</f>
        <v/>
      </c>
      <c r="AB96" s="214" t="str">
        <f t="shared" si="30"/>
        <v/>
      </c>
      <c r="AC96" s="215" t="str">
        <f t="shared" si="76"/>
        <v/>
      </c>
      <c r="AD96" s="214" t="str">
        <f t="shared" si="32"/>
        <v/>
      </c>
      <c r="AE96" s="215" t="str">
        <f>IFERROR(IF(AND(T95="Impacto",T96="Impacto"),(AE95-(+AE95*W96)),IF(AND(T95="Probabilidad",T96="Impacto"),(AE94-(+AE94*W96)),IF(T96="Probabilidad",AE95,""))),"")</f>
        <v/>
      </c>
      <c r="AF96" s="216" t="str">
        <f t="shared" si="79"/>
        <v/>
      </c>
      <c r="AG96" s="217"/>
      <c r="AH96" s="206"/>
      <c r="AI96" s="206"/>
      <c r="AJ96" s="206"/>
      <c r="AK96" s="206"/>
      <c r="AL96" s="206"/>
      <c r="AM96" s="207"/>
      <c r="AN96" s="209"/>
      <c r="AO96" s="209"/>
      <c r="AP96" s="206"/>
      <c r="AQ96" s="207"/>
    </row>
    <row r="97" spans="1:43" ht="53.25" x14ac:dyDescent="0.3">
      <c r="A97" s="312">
        <v>10</v>
      </c>
      <c r="B97" s="311" t="s">
        <v>127</v>
      </c>
      <c r="C97" s="311" t="s">
        <v>244</v>
      </c>
      <c r="D97" s="320" t="s">
        <v>248</v>
      </c>
      <c r="E97" s="320" t="s">
        <v>257</v>
      </c>
      <c r="F97" s="201" t="s">
        <v>442</v>
      </c>
      <c r="G97" s="320" t="s">
        <v>443</v>
      </c>
      <c r="H97" s="187" t="s">
        <v>410</v>
      </c>
      <c r="I97" s="311" t="s">
        <v>120</v>
      </c>
      <c r="J97" s="308">
        <v>12</v>
      </c>
      <c r="K97" s="287" t="str">
        <f>IF(J97&lt;=0,"",IF(J97&lt;=2,"Muy Baja",IF(J97&lt;=24,"Baja",IF(J97&lt;=500,"Media",IF(J97&lt;=5000,"Alta","Muy Alta")))))</f>
        <v>Baja</v>
      </c>
      <c r="L97" s="290">
        <f>IF(K97="","",IF(K97="Muy Baja",0.2,IF(K97="Baja",0.4,IF(K97="Media",0.6,IF(K97="Alta",0.8,IF(K97="Muy Alta",1,))))))</f>
        <v>0.4</v>
      </c>
      <c r="M97" s="305" t="s">
        <v>148</v>
      </c>
      <c r="N97" s="290" t="str">
        <f>IF(NOT(ISERROR(MATCH(M97,'[2]Tabla Impacto'!$B$221:$B$223,0))),'[2]Tabla Impacto'!$F$223&amp;"Por favor no seleccionar los criterios de impacto(Afectación Económica o presupuestal y Pérdida Reputacional)",M97)</f>
        <v xml:space="preserve">     El riesgo afecta la imagen de la entidad con algunos usuarios de relevancia frente al logro de los objetivos</v>
      </c>
      <c r="O97" s="287" t="str">
        <f>IF(OR(N97='[2]Tabla Impacto'!$C$11,N97='[2]Tabla Impacto'!$D$11),"Leve",IF(OR(N97='[2]Tabla Impacto'!$C$12,N97='[2]Tabla Impacto'!$D$12),"Menor",IF(OR(N97='[2]Tabla Impacto'!$C$13,N97='[2]Tabla Impacto'!$D$13),"Moderado",IF(OR(N97='[2]Tabla Impacto'!$C$14,N97='[2]Tabla Impacto'!$D$14),"Mayor",IF(OR(N97='[2]Tabla Impacto'!$C$15,N97='[2]Tabla Impacto'!$D$15),"Catastrófico","")))))</f>
        <v>Moderado</v>
      </c>
      <c r="P97" s="290">
        <f>IF(O97="","",IF(O97="Leve",0.2,IF(O97="Menor",0.4,IF(O97="Moderado",0.6,IF(O97="Mayor",0.8,IF(O97="Catastrófico",1,))))))</f>
        <v>0.6</v>
      </c>
      <c r="Q97" s="283"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Moderado</v>
      </c>
      <c r="R97" s="212">
        <v>1</v>
      </c>
      <c r="S97" s="197" t="s">
        <v>444</v>
      </c>
      <c r="T97" s="164" t="str">
        <f>IF(OR(U97="Preventivo",U97="Detectivo"),"Probabilidad",IF(U97="Correctivo","Impacto",""))</f>
        <v>Probabilidad</v>
      </c>
      <c r="U97" s="165" t="s">
        <v>14</v>
      </c>
      <c r="V97" s="165" t="s">
        <v>8</v>
      </c>
      <c r="W97" s="166" t="str">
        <f>IF(AND(U97="Preventivo",V97="Automático"),"50%",IF(AND(U97="Preventivo",V97="Manual"),"40%",IF(AND(U97="Detectivo",V97="Automático"),"40%",IF(AND(U97="Detectivo",V97="Manual"),"30%",IF(AND(U97="Correctivo",V97="Automático"),"35%",IF(AND(U97="Correctivo",V97="Manual"),"25%",""))))))</f>
        <v>30%</v>
      </c>
      <c r="X97" s="165" t="s">
        <v>18</v>
      </c>
      <c r="Y97" s="165" t="s">
        <v>21</v>
      </c>
      <c r="Z97" s="165" t="s">
        <v>116</v>
      </c>
      <c r="AA97" s="167">
        <f>IFERROR(IF(T97="Probabilidad",(L97-(+L97*W97)),IF(T97="Impacto",L97,"")),"")</f>
        <v>0.28000000000000003</v>
      </c>
      <c r="AB97" s="168" t="str">
        <f>IFERROR(IF(AA97="","",IF(AA97&lt;=0.2,"Muy Baja",IF(AA97&lt;=0.4,"Baja",IF(AA97&lt;=0.6,"Media",IF(AA97&lt;=0.8,"Alta","Muy Alta"))))),"")</f>
        <v>Baja</v>
      </c>
      <c r="AC97" s="169">
        <f>+AA97</f>
        <v>0.28000000000000003</v>
      </c>
      <c r="AD97" s="214" t="str">
        <f>IFERROR(IF(AE97="","",IF(AE97&lt;=0.2,"Leve",IF(AE97&lt;=0.4,"Menor",IF(AE97&lt;=0.6,"Moderado",IF(AE97&lt;=0.8,"Mayor","Catastrófico"))))),"")</f>
        <v>Moderado</v>
      </c>
      <c r="AE97" s="215">
        <f>IFERROR(IF(T97="Impacto",(P97-(+P97*W97)),IF(T97="Probabilidad",P97,"")),"")</f>
        <v>0.6</v>
      </c>
      <c r="AF97" s="216" t="str">
        <f>IFERROR(IF(OR(AND(AB97="Muy Baja",AD97="Leve"),AND(AB97="Muy Baja",AD97="Menor"),AND(AB97="Baja",AD97="Leve")),"Bajo",IF(OR(AND(AB97="Muy baja",AD97="Moderado"),AND(AB97="Baja",AD97="Menor"),AND(AB97="Baja",AD97="Moderado"),AND(AB97="Media",AD97="Leve"),AND(AB97="Media",AD97="Menor"),AND(AB97="Media",AD97="Moderado"),AND(AB97="Alta",AD97="Leve"),AND(AB97="Alta",AD97="Menor")),"Moderado",IF(OR(AND(AB97="Muy Baja",AD97="Mayor"),AND(AB97="Baja",AD97="Mayor"),AND(AB97="Media",AD97="Mayor"),AND(AB97="Alta",AD97="Moderado"),AND(AB97="Alta",AD97="Mayor"),AND(AB97="Muy Alta",AD97="Leve"),AND(AB97="Muy Alta",AD97="Menor"),AND(AB97="Muy Alta",AD97="Moderado"),AND(AB97="Muy Alta",AD97="Mayor")),"Alto",IF(OR(AND(AB97="Muy Baja",AD97="Catastrófico"),AND(AB97="Baja",AD97="Catastrófico"),AND(AB97="Media",AD97="Catastrófico"),AND(AB97="Alta",AD97="Catastrófico"),AND(AB97="Muy Alta",AD97="Catastrófico")),"Extremo","")))),"")</f>
        <v>Moderado</v>
      </c>
      <c r="AG97" s="217" t="s">
        <v>131</v>
      </c>
      <c r="AH97" s="206" t="s">
        <v>445</v>
      </c>
      <c r="AI97" s="206" t="s">
        <v>306</v>
      </c>
      <c r="AJ97" s="206" t="s">
        <v>307</v>
      </c>
      <c r="AK97" s="206" t="s">
        <v>343</v>
      </c>
      <c r="AL97" s="206" t="s">
        <v>343</v>
      </c>
      <c r="AM97" s="206" t="s">
        <v>343</v>
      </c>
      <c r="AN97" s="206" t="s">
        <v>343</v>
      </c>
      <c r="AO97" s="206" t="s">
        <v>343</v>
      </c>
      <c r="AP97" s="206" t="s">
        <v>343</v>
      </c>
      <c r="AQ97" s="207" t="s">
        <v>39</v>
      </c>
    </row>
    <row r="98" spans="1:43" ht="53.25" x14ac:dyDescent="0.3">
      <c r="A98" s="313"/>
      <c r="B98" s="293"/>
      <c r="C98" s="293"/>
      <c r="D98" s="293"/>
      <c r="E98" s="293"/>
      <c r="F98" s="152" t="s">
        <v>446</v>
      </c>
      <c r="G98" s="293"/>
      <c r="H98" s="196" t="s">
        <v>447</v>
      </c>
      <c r="I98" s="293"/>
      <c r="J98" s="295"/>
      <c r="K98" s="288"/>
      <c r="L98" s="291"/>
      <c r="M98" s="303"/>
      <c r="N98" s="291">
        <f>IF(NOT(ISERROR(MATCH(M98,_xlfn.ANCHORARRAY(#REF!),0))),L104&amp;"Por favor no seleccionar los criterios de impacto",M98)</f>
        <v>0</v>
      </c>
      <c r="O98" s="288"/>
      <c r="P98" s="291"/>
      <c r="Q98" s="284"/>
      <c r="R98" s="212">
        <v>2</v>
      </c>
      <c r="S98" s="197" t="s">
        <v>448</v>
      </c>
      <c r="T98" s="164" t="str">
        <f>IF(OR(U98="Preventivo",U98="Detectivo"),"Probabilidad",IF(U98="Correctivo","Impacto",""))</f>
        <v>Probabilidad</v>
      </c>
      <c r="U98" s="165" t="s">
        <v>14</v>
      </c>
      <c r="V98" s="165" t="s">
        <v>8</v>
      </c>
      <c r="W98" s="166" t="str">
        <f t="shared" ref="W98:W102" si="80">IF(AND(U98="Preventivo",V98="Automático"),"50%",IF(AND(U98="Preventivo",V98="Manual"),"40%",IF(AND(U98="Detectivo",V98="Automático"),"40%",IF(AND(U98="Detectivo",V98="Manual"),"30%",IF(AND(U98="Correctivo",V98="Automático"),"35%",IF(AND(U98="Correctivo",V98="Manual"),"25%",""))))))</f>
        <v>30%</v>
      </c>
      <c r="X98" s="165" t="s">
        <v>18</v>
      </c>
      <c r="Y98" s="165" t="s">
        <v>21</v>
      </c>
      <c r="Z98" s="165" t="s">
        <v>116</v>
      </c>
      <c r="AA98" s="167">
        <f>IFERROR(IF(AND(T97="Probabilidad",T98="Probabilidad"),(AC97-(+AC97*W98)),IF(T98="Probabilidad",(L97-(+L97*W98)),IF(T98="Impacto",AC97,""))),"")</f>
        <v>0.19600000000000001</v>
      </c>
      <c r="AB98" s="168" t="str">
        <f t="shared" si="30"/>
        <v>Muy Baja</v>
      </c>
      <c r="AC98" s="169">
        <f t="shared" ref="AC98:AC102" si="81">+AA98</f>
        <v>0.19600000000000001</v>
      </c>
      <c r="AD98" s="214" t="str">
        <f t="shared" si="32"/>
        <v>Moderado</v>
      </c>
      <c r="AE98" s="215">
        <f>IFERROR(IF(AND(T97="Impacto",T98="Impacto"),(AE97-(+AE97*W98)),IF(T98="Impacto",(P97-(+P97*W98)),IF(T98="Probabilidad",AE97,""))),"")</f>
        <v>0.6</v>
      </c>
      <c r="AF98" s="216" t="str">
        <f t="shared" ref="AF98:AF99" si="82">IFERROR(IF(OR(AND(AB98="Muy Baja",AD98="Leve"),AND(AB98="Muy Baja",AD98="Menor"),AND(AB98="Baja",AD98="Leve")),"Bajo",IF(OR(AND(AB98="Muy baja",AD98="Moderado"),AND(AB98="Baja",AD98="Menor"),AND(AB98="Baja",AD98="Moderado"),AND(AB98="Media",AD98="Leve"),AND(AB98="Media",AD98="Menor"),AND(AB98="Media",AD98="Moderado"),AND(AB98="Alta",AD98="Leve"),AND(AB98="Alta",AD98="Menor")),"Moderado",IF(OR(AND(AB98="Muy Baja",AD98="Mayor"),AND(AB98="Baja",AD98="Mayor"),AND(AB98="Media",AD98="Mayor"),AND(AB98="Alta",AD98="Moderado"),AND(AB98="Alta",AD98="Mayor"),AND(AB98="Muy Alta",AD98="Leve"),AND(AB98="Muy Alta",AD98="Menor"),AND(AB98="Muy Alta",AD98="Moderado"),AND(AB98="Muy Alta",AD98="Mayor")),"Alto",IF(OR(AND(AB98="Muy Baja",AD98="Catastrófico"),AND(AB98="Baja",AD98="Catastrófico"),AND(AB98="Media",AD98="Catastrófico"),AND(AB98="Alta",AD98="Catastrófico"),AND(AB98="Muy Alta",AD98="Catastrófico")),"Extremo","")))),"")</f>
        <v>Moderado</v>
      </c>
      <c r="AG98" s="217" t="s">
        <v>131</v>
      </c>
      <c r="AH98" s="206" t="s">
        <v>449</v>
      </c>
      <c r="AI98" s="206" t="s">
        <v>306</v>
      </c>
      <c r="AJ98" s="206" t="s">
        <v>307</v>
      </c>
      <c r="AK98" s="206" t="s">
        <v>343</v>
      </c>
      <c r="AL98" s="206" t="s">
        <v>343</v>
      </c>
      <c r="AM98" s="206" t="s">
        <v>343</v>
      </c>
      <c r="AN98" s="206" t="s">
        <v>343</v>
      </c>
      <c r="AO98" s="206" t="s">
        <v>343</v>
      </c>
      <c r="AP98" s="206" t="s">
        <v>343</v>
      </c>
      <c r="AQ98" s="207"/>
    </row>
    <row r="99" spans="1:43" x14ac:dyDescent="0.3">
      <c r="A99" s="313"/>
      <c r="B99" s="293"/>
      <c r="C99" s="293"/>
      <c r="D99" s="293"/>
      <c r="E99" s="293"/>
      <c r="F99" s="152"/>
      <c r="G99" s="293"/>
      <c r="H99" s="153"/>
      <c r="I99" s="293"/>
      <c r="J99" s="295"/>
      <c r="K99" s="288"/>
      <c r="L99" s="291"/>
      <c r="M99" s="303"/>
      <c r="N99" s="291">
        <f>IF(NOT(ISERROR(MATCH(M99,_xlfn.ANCHORARRAY(H103),0))),L105&amp;"Por favor no seleccionar los criterios de impacto",M99)</f>
        <v>0</v>
      </c>
      <c r="O99" s="288"/>
      <c r="P99" s="291"/>
      <c r="Q99" s="284"/>
      <c r="R99" s="212">
        <v>3</v>
      </c>
      <c r="S99" s="220"/>
      <c r="T99" s="213" t="str">
        <f>IF(OR(U99="Preventivo",U99="Detectivo"),"Probabilidad",IF(U99="Correctivo","Impacto",""))</f>
        <v/>
      </c>
      <c r="U99" s="221"/>
      <c r="V99" s="221"/>
      <c r="W99" s="222" t="str">
        <f t="shared" si="80"/>
        <v/>
      </c>
      <c r="X99" s="221"/>
      <c r="Y99" s="221"/>
      <c r="Z99" s="221"/>
      <c r="AA99" s="223" t="str">
        <f>IFERROR(IF(AND(T98="Probabilidad",T99="Probabilidad"),(AC98-(+AC98*W99)),IF(AND(T98="Impacto",T99="Probabilidad"),(AC97-(+AC97*W99)),IF(T99="Impacto",AC98,""))),"")</f>
        <v/>
      </c>
      <c r="AB99" s="214" t="str">
        <f t="shared" si="30"/>
        <v/>
      </c>
      <c r="AC99" s="215" t="str">
        <f t="shared" si="81"/>
        <v/>
      </c>
      <c r="AD99" s="214" t="str">
        <f t="shared" si="32"/>
        <v/>
      </c>
      <c r="AE99" s="215" t="str">
        <f>IFERROR(IF(AND(T98="Impacto",T99="Impacto"),(AE98-(+AE98*W99)),IF(AND(T98="Probabilidad",T99="Impacto"),(AE97-(+AE97*W99)),IF(T99="Probabilidad",AE98,""))),"")</f>
        <v/>
      </c>
      <c r="AF99" s="216" t="str">
        <f t="shared" si="82"/>
        <v/>
      </c>
      <c r="AG99" s="217"/>
      <c r="AH99" s="206"/>
      <c r="AI99" s="206"/>
      <c r="AJ99" s="206"/>
      <c r="AK99" s="206"/>
      <c r="AL99" s="206"/>
      <c r="AM99" s="207"/>
      <c r="AN99" s="209"/>
      <c r="AO99" s="209"/>
      <c r="AP99" s="206"/>
      <c r="AQ99" s="207"/>
    </row>
    <row r="100" spans="1:43" x14ac:dyDescent="0.3">
      <c r="A100" s="313"/>
      <c r="B100" s="293"/>
      <c r="C100" s="293"/>
      <c r="D100" s="293"/>
      <c r="E100" s="293"/>
      <c r="F100" s="152"/>
      <c r="G100" s="293"/>
      <c r="H100" s="153"/>
      <c r="I100" s="293"/>
      <c r="J100" s="295"/>
      <c r="K100" s="288"/>
      <c r="L100" s="291"/>
      <c r="M100" s="303"/>
      <c r="N100" s="291">
        <f>IF(NOT(ISERROR(MATCH(M100,_xlfn.ANCHORARRAY(H104),0))),L106&amp;"Por favor no seleccionar los criterios de impacto",M100)</f>
        <v>0</v>
      </c>
      <c r="O100" s="288"/>
      <c r="P100" s="291"/>
      <c r="Q100" s="284"/>
      <c r="R100" s="212">
        <v>4</v>
      </c>
      <c r="S100" s="225"/>
      <c r="T100" s="213" t="str">
        <f t="shared" ref="T100:T102" si="83">IF(OR(U100="Preventivo",U100="Detectivo"),"Probabilidad",IF(U100="Correctivo","Impacto",""))</f>
        <v/>
      </c>
      <c r="U100" s="221"/>
      <c r="V100" s="221"/>
      <c r="W100" s="222" t="str">
        <f t="shared" si="80"/>
        <v/>
      </c>
      <c r="X100" s="221"/>
      <c r="Y100" s="221"/>
      <c r="Z100" s="221"/>
      <c r="AA100" s="223" t="str">
        <f>IFERROR(IF(AND(T99="Probabilidad",T100="Probabilidad"),(AC99-(+AC99*W100)),IF(AND(T99="Impacto",T100="Probabilidad"),(AC98-(+AC98*W100)),IF(T100="Impacto",AC99,""))),"")</f>
        <v/>
      </c>
      <c r="AB100" s="214" t="str">
        <f t="shared" si="30"/>
        <v/>
      </c>
      <c r="AC100" s="215" t="str">
        <f t="shared" si="81"/>
        <v/>
      </c>
      <c r="AD100" s="214" t="str">
        <f t="shared" si="32"/>
        <v/>
      </c>
      <c r="AE100" s="215" t="str">
        <f>IFERROR(IF(AND(T99="Impacto",T100="Impacto"),(AE99-(+AE99*W100)),IF(AND(T99="Probabilidad",T100="Impacto"),(AE98-(+AE98*W100)),IF(T100="Probabilidad",AE99,""))),"")</f>
        <v/>
      </c>
      <c r="AF100" s="216" t="str">
        <f>IFERROR(IF(OR(AND(AB100="Muy Baja",AD100="Leve"),AND(AB100="Muy Baja",AD100="Menor"),AND(AB100="Baja",AD100="Leve")),"Bajo",IF(OR(AND(AB100="Muy baja",AD100="Moderado"),AND(AB100="Baja",AD100="Menor"),AND(AB100="Baja",AD100="Moderado"),AND(AB100="Media",AD100="Leve"),AND(AB100="Media",AD100="Menor"),AND(AB100="Media",AD100="Moderado"),AND(AB100="Alta",AD100="Leve"),AND(AB100="Alta",AD100="Menor")),"Moderado",IF(OR(AND(AB100="Muy Baja",AD100="Mayor"),AND(AB100="Baja",AD100="Mayor"),AND(AB100="Media",AD100="Mayor"),AND(AB100="Alta",AD100="Moderado"),AND(AB100="Alta",AD100="Mayor"),AND(AB100="Muy Alta",AD100="Leve"),AND(AB100="Muy Alta",AD100="Menor"),AND(AB100="Muy Alta",AD100="Moderado"),AND(AB100="Muy Alta",AD100="Mayor")),"Alto",IF(OR(AND(AB100="Muy Baja",AD100="Catastrófico"),AND(AB100="Baja",AD100="Catastrófico"),AND(AB100="Media",AD100="Catastrófico"),AND(AB100="Alta",AD100="Catastrófico"),AND(AB100="Muy Alta",AD100="Catastrófico")),"Extremo","")))),"")</f>
        <v/>
      </c>
      <c r="AG100" s="217"/>
      <c r="AH100" s="206"/>
      <c r="AI100" s="206"/>
      <c r="AJ100" s="206"/>
      <c r="AK100" s="206"/>
      <c r="AL100" s="206"/>
      <c r="AM100" s="207"/>
      <c r="AN100" s="209"/>
      <c r="AO100" s="209"/>
      <c r="AP100" s="206"/>
      <c r="AQ100" s="207"/>
    </row>
    <row r="101" spans="1:43" x14ac:dyDescent="0.3">
      <c r="A101" s="313"/>
      <c r="B101" s="293"/>
      <c r="C101" s="293"/>
      <c r="D101" s="293"/>
      <c r="E101" s="293"/>
      <c r="F101" s="152"/>
      <c r="G101" s="293"/>
      <c r="H101" s="153"/>
      <c r="I101" s="293"/>
      <c r="J101" s="295"/>
      <c r="K101" s="288"/>
      <c r="L101" s="291"/>
      <c r="M101" s="303"/>
      <c r="N101" s="291">
        <f>IF(NOT(ISERROR(MATCH(M101,_xlfn.ANCHORARRAY(H105),0))),L107&amp;"Por favor no seleccionar los criterios de impacto",M101)</f>
        <v>0</v>
      </c>
      <c r="O101" s="288"/>
      <c r="P101" s="291"/>
      <c r="Q101" s="284"/>
      <c r="R101" s="212">
        <v>5</v>
      </c>
      <c r="S101" s="225"/>
      <c r="T101" s="213" t="str">
        <f t="shared" si="83"/>
        <v/>
      </c>
      <c r="U101" s="221"/>
      <c r="V101" s="221"/>
      <c r="W101" s="222" t="str">
        <f t="shared" si="80"/>
        <v/>
      </c>
      <c r="X101" s="221"/>
      <c r="Y101" s="221"/>
      <c r="Z101" s="221"/>
      <c r="AA101" s="223" t="str">
        <f>IFERROR(IF(AND(T100="Probabilidad",T101="Probabilidad"),(AC100-(+AC100*W101)),IF(AND(T100="Impacto",T101="Probabilidad"),(AC99-(+AC99*W101)),IF(T101="Impacto",AC100,""))),"")</f>
        <v/>
      </c>
      <c r="AB101" s="214" t="str">
        <f t="shared" si="30"/>
        <v/>
      </c>
      <c r="AC101" s="215" t="str">
        <f t="shared" si="81"/>
        <v/>
      </c>
      <c r="AD101" s="214" t="str">
        <f t="shared" si="32"/>
        <v/>
      </c>
      <c r="AE101" s="215" t="str">
        <f>IFERROR(IF(AND(T100="Impacto",T101="Impacto"),(AE100-(+AE100*W101)),IF(AND(T100="Probabilidad",T101="Impacto"),(AE99-(+AE99*W101)),IF(T101="Probabilidad",AE100,""))),"")</f>
        <v/>
      </c>
      <c r="AF101" s="216" t="str">
        <f t="shared" ref="AF101:AF102" si="84">IFERROR(IF(OR(AND(AB101="Muy Baja",AD101="Leve"),AND(AB101="Muy Baja",AD101="Menor"),AND(AB101="Baja",AD101="Leve")),"Bajo",IF(OR(AND(AB101="Muy baja",AD101="Moderado"),AND(AB101="Baja",AD101="Menor"),AND(AB101="Baja",AD101="Moderado"),AND(AB101="Media",AD101="Leve"),AND(AB101="Media",AD101="Menor"),AND(AB101="Media",AD101="Moderado"),AND(AB101="Alta",AD101="Leve"),AND(AB101="Alta",AD101="Menor")),"Moderado",IF(OR(AND(AB101="Muy Baja",AD101="Mayor"),AND(AB101="Baja",AD101="Mayor"),AND(AB101="Media",AD101="Mayor"),AND(AB101="Alta",AD101="Moderado"),AND(AB101="Alta",AD101="Mayor"),AND(AB101="Muy Alta",AD101="Leve"),AND(AB101="Muy Alta",AD101="Menor"),AND(AB101="Muy Alta",AD101="Moderado"),AND(AB101="Muy Alta",AD101="Mayor")),"Alto",IF(OR(AND(AB101="Muy Baja",AD101="Catastrófico"),AND(AB101="Baja",AD101="Catastrófico"),AND(AB101="Media",AD101="Catastrófico"),AND(AB101="Alta",AD101="Catastrófico"),AND(AB101="Muy Alta",AD101="Catastrófico")),"Extremo","")))),"")</f>
        <v/>
      </c>
      <c r="AG101" s="228"/>
      <c r="AH101" s="206"/>
      <c r="AI101" s="206"/>
      <c r="AJ101" s="206"/>
      <c r="AK101" s="206"/>
      <c r="AL101" s="206"/>
      <c r="AM101" s="207"/>
      <c r="AN101" s="209"/>
      <c r="AO101" s="209"/>
      <c r="AP101" s="206"/>
      <c r="AQ101" s="207"/>
    </row>
    <row r="102" spans="1:43" x14ac:dyDescent="0.3">
      <c r="A102" s="314"/>
      <c r="B102" s="294"/>
      <c r="C102" s="294"/>
      <c r="D102" s="294"/>
      <c r="E102" s="294"/>
      <c r="F102" s="162"/>
      <c r="G102" s="294"/>
      <c r="H102" s="175"/>
      <c r="I102" s="294"/>
      <c r="J102" s="296"/>
      <c r="K102" s="289"/>
      <c r="L102" s="292"/>
      <c r="M102" s="304"/>
      <c r="N102" s="292">
        <f>IF(NOT(ISERROR(MATCH(M102,_xlfn.ANCHORARRAY(H106),0))),L108&amp;"Por favor no seleccionar los criterios de impacto",M102)</f>
        <v>0</v>
      </c>
      <c r="O102" s="289"/>
      <c r="P102" s="292"/>
      <c r="Q102" s="285"/>
      <c r="R102" s="212">
        <v>6</v>
      </c>
      <c r="S102" s="225"/>
      <c r="T102" s="213" t="str">
        <f t="shared" si="83"/>
        <v/>
      </c>
      <c r="U102" s="221"/>
      <c r="V102" s="221"/>
      <c r="W102" s="222" t="str">
        <f t="shared" si="80"/>
        <v/>
      </c>
      <c r="X102" s="221"/>
      <c r="Y102" s="221"/>
      <c r="Z102" s="221"/>
      <c r="AA102" s="223" t="str">
        <f>IFERROR(IF(AND(T101="Probabilidad",T102="Probabilidad"),(AC101-(+AC101*W102)),IF(AND(T101="Impacto",T102="Probabilidad"),(AC100-(+AC100*W102)),IF(T102="Impacto",AC101,""))),"")</f>
        <v/>
      </c>
      <c r="AB102" s="214" t="str">
        <f t="shared" si="30"/>
        <v/>
      </c>
      <c r="AC102" s="215" t="str">
        <f t="shared" si="81"/>
        <v/>
      </c>
      <c r="AD102" s="214" t="str">
        <f t="shared" si="32"/>
        <v/>
      </c>
      <c r="AE102" s="215" t="str">
        <f>IFERROR(IF(AND(T101="Impacto",T102="Impacto"),(AE101-(+AE101*W102)),IF(AND(T101="Probabilidad",T102="Impacto"),(AE100-(+AE100*W102)),IF(T102="Probabilidad",AE101,""))),"")</f>
        <v/>
      </c>
      <c r="AF102" s="216" t="str">
        <f t="shared" si="84"/>
        <v/>
      </c>
      <c r="AG102" s="228"/>
      <c r="AH102" s="206"/>
      <c r="AI102" s="206"/>
      <c r="AJ102" s="206"/>
      <c r="AK102" s="206"/>
      <c r="AL102" s="206"/>
      <c r="AM102" s="207"/>
      <c r="AN102" s="209"/>
      <c r="AO102" s="209"/>
      <c r="AP102" s="206"/>
      <c r="AQ102" s="207"/>
    </row>
    <row r="103" spans="1:43" x14ac:dyDescent="0.3">
      <c r="A103" s="310" t="s">
        <v>450</v>
      </c>
      <c r="B103" s="339" t="s">
        <v>2</v>
      </c>
      <c r="C103" s="340" t="s">
        <v>234</v>
      </c>
      <c r="D103" s="340" t="s">
        <v>237</v>
      </c>
      <c r="E103" s="340" t="s">
        <v>235</v>
      </c>
      <c r="F103" s="340" t="s">
        <v>236</v>
      </c>
      <c r="G103" s="339" t="s">
        <v>1</v>
      </c>
      <c r="H103" s="339" t="s">
        <v>308</v>
      </c>
      <c r="I103" s="340" t="s">
        <v>47</v>
      </c>
      <c r="J103" s="340" t="s">
        <v>130</v>
      </c>
      <c r="K103" s="340" t="s">
        <v>32</v>
      </c>
      <c r="L103" s="339" t="s">
        <v>4</v>
      </c>
      <c r="M103" s="340" t="s">
        <v>84</v>
      </c>
      <c r="N103" s="340" t="s">
        <v>89</v>
      </c>
      <c r="O103" s="340" t="s">
        <v>42</v>
      </c>
      <c r="P103" s="339" t="s">
        <v>4</v>
      </c>
      <c r="Q103" s="340" t="s">
        <v>45</v>
      </c>
      <c r="R103" s="341" t="s">
        <v>10</v>
      </c>
      <c r="S103" s="340" t="s">
        <v>156</v>
      </c>
      <c r="T103" s="340" t="s">
        <v>11</v>
      </c>
      <c r="U103" s="340" t="s">
        <v>7</v>
      </c>
      <c r="V103" s="340"/>
      <c r="W103" s="340"/>
      <c r="X103" s="340"/>
      <c r="Y103" s="340"/>
      <c r="Z103" s="340"/>
      <c r="AA103" s="340" t="s">
        <v>133</v>
      </c>
      <c r="AB103" s="340" t="s">
        <v>43</v>
      </c>
      <c r="AC103" s="340" t="s">
        <v>4</v>
      </c>
      <c r="AD103" s="340" t="s">
        <v>44</v>
      </c>
      <c r="AE103" s="340" t="s">
        <v>4</v>
      </c>
      <c r="AF103" s="340" t="s">
        <v>46</v>
      </c>
      <c r="AG103" s="340" t="s">
        <v>28</v>
      </c>
      <c r="AH103" s="340" t="s">
        <v>302</v>
      </c>
      <c r="AI103" s="340" t="s">
        <v>303</v>
      </c>
      <c r="AJ103" s="340" t="s">
        <v>304</v>
      </c>
      <c r="AK103" s="340" t="s">
        <v>305</v>
      </c>
      <c r="AL103" s="340" t="s">
        <v>33</v>
      </c>
      <c r="AM103" s="340" t="s">
        <v>34</v>
      </c>
      <c r="AN103" s="340" t="s">
        <v>35</v>
      </c>
      <c r="AO103" s="340" t="s">
        <v>37</v>
      </c>
      <c r="AP103" s="340" t="s">
        <v>36</v>
      </c>
      <c r="AQ103" s="340" t="s">
        <v>38</v>
      </c>
    </row>
    <row r="104" spans="1:43" x14ac:dyDescent="0.3">
      <c r="A104" s="310"/>
      <c r="B104" s="339"/>
      <c r="C104" s="340"/>
      <c r="D104" s="340"/>
      <c r="E104" s="340"/>
      <c r="F104" s="340"/>
      <c r="G104" s="339"/>
      <c r="H104" s="339"/>
      <c r="I104" s="340"/>
      <c r="J104" s="340"/>
      <c r="K104" s="340"/>
      <c r="L104" s="339"/>
      <c r="M104" s="340"/>
      <c r="N104" s="340"/>
      <c r="O104" s="339"/>
      <c r="P104" s="339"/>
      <c r="Q104" s="340"/>
      <c r="R104" s="341"/>
      <c r="S104" s="340"/>
      <c r="T104" s="340"/>
      <c r="U104" s="229" t="s">
        <v>12</v>
      </c>
      <c r="V104" s="229" t="s">
        <v>16</v>
      </c>
      <c r="W104" s="229" t="s">
        <v>27</v>
      </c>
      <c r="X104" s="229" t="s">
        <v>17</v>
      </c>
      <c r="Y104" s="229" t="s">
        <v>20</v>
      </c>
      <c r="Z104" s="229" t="s">
        <v>23</v>
      </c>
      <c r="AA104" s="340"/>
      <c r="AB104" s="340"/>
      <c r="AC104" s="340"/>
      <c r="AD104" s="340"/>
      <c r="AE104" s="340"/>
      <c r="AF104" s="340"/>
      <c r="AG104" s="340"/>
      <c r="AH104" s="340"/>
      <c r="AI104" s="340"/>
      <c r="AJ104" s="340"/>
      <c r="AK104" s="340"/>
      <c r="AL104" s="340"/>
      <c r="AM104" s="340"/>
      <c r="AN104" s="340"/>
      <c r="AO104" s="340"/>
      <c r="AP104" s="340"/>
      <c r="AQ104" s="340"/>
    </row>
    <row r="105" spans="1:43" ht="42.75" x14ac:dyDescent="0.3">
      <c r="A105" s="312">
        <v>1</v>
      </c>
      <c r="B105" s="311" t="s">
        <v>127</v>
      </c>
      <c r="C105" s="311" t="s">
        <v>239</v>
      </c>
      <c r="D105" s="311" t="s">
        <v>248</v>
      </c>
      <c r="E105" s="311" t="s">
        <v>261</v>
      </c>
      <c r="F105" s="185" t="s">
        <v>314</v>
      </c>
      <c r="G105" s="281" t="s">
        <v>451</v>
      </c>
      <c r="H105" s="177" t="s">
        <v>452</v>
      </c>
      <c r="I105" s="311" t="s">
        <v>120</v>
      </c>
      <c r="J105" s="308">
        <v>20</v>
      </c>
      <c r="K105" s="287" t="str">
        <f>IF(J105&lt;=0,"",IF(J105&lt;=2,"Muy Baja",IF(J105&lt;=24,"Baja",IF(J105&lt;=500,"Media",IF(J105&lt;=5000,"Alta","Muy Alta")))))</f>
        <v>Baja</v>
      </c>
      <c r="L105" s="290">
        <f>IF(K105="","",IF(K105="Muy Baja",0.2,IF(K105="Baja",0.4,IF(K105="Media",0.6,IF(K105="Alta",0.8,IF(K105="Muy Alta",1,))))))</f>
        <v>0.4</v>
      </c>
      <c r="M105" s="305" t="s">
        <v>148</v>
      </c>
      <c r="N105" s="316" t="str">
        <f>IF(NOT(ISERROR(MATCH(M105,'[3]Tabla Impacto'!$B$221:$B$223,0))),'[3]Tabla Impacto'!$F$223&amp;"Por favor no seleccionar los criterios de impacto(Afectación Económica o presupuestal y Pérdida Reputacional)",M105)</f>
        <v xml:space="preserve">     El riesgo afecta la imagen de la entidad con algunos usuarios de relevancia frente al logro de los objetivos</v>
      </c>
      <c r="O105" s="287" t="str">
        <f>IF(OR(N105='[3]Tabla Impacto'!$C$11,N105='[3]Tabla Impacto'!$D$11),"Leve",IF(OR(N105='[3]Tabla Impacto'!$C$12,N105='[3]Tabla Impacto'!$D$12),"Menor",IF(OR(N105='[3]Tabla Impacto'!$C$13,N105='[3]Tabla Impacto'!$D$13),"Moderado",IF(OR(N105='[3]Tabla Impacto'!$C$14,N105='[3]Tabla Impacto'!$D$14),"Mayor",IF(OR(N105='[3]Tabla Impacto'!$C$15,N105='[3]Tabla Impacto'!$D$15),"Catastrófico","")))))</f>
        <v>Moderado</v>
      </c>
      <c r="P105" s="290">
        <f>IF(O105="","",IF(O105="Leve",0.2,IF(O105="Menor",0.4,IF(O105="Moderado",0.6,IF(O105="Mayor",0.8,IF(O105="Catastrófico",1,))))))</f>
        <v>0.6</v>
      </c>
      <c r="Q105" s="283" t="str">
        <f>IF(OR(AND(K105="Muy Baja",O105="Leve"),AND(K105="Muy Baja",O105="Menor"),AND(K105="Baja",O105="Leve")),"Bajo",IF(OR(AND(K105="Muy baja",O105="Moderado"),AND(K105="Baja",O105="Menor"),AND(K105="Baja",O105="Moderado"),AND(K105="Media",O105="Leve"),AND(K105="Media",O105="Menor"),AND(K105="Media",O105="Moderado"),AND(K105="Alta",O105="Leve"),AND(K105="Alta",O105="Menor")),"Moderado",IF(OR(AND(K105="Muy Baja",O105="Mayor"),AND(K105="Baja",O105="Mayor"),AND(K105="Media",O105="Mayor"),AND(K105="Alta",O105="Moderado"),AND(K105="Alta",O105="Mayor"),AND(K105="Muy Alta",O105="Leve"),AND(K105="Muy Alta",O105="Menor"),AND(K105="Muy Alta",O105="Moderado"),AND(K105="Muy Alta",O105="Mayor")),"Alto",IF(OR(AND(K105="Muy Baja",O105="Catastrófico"),AND(K105="Baja",O105="Catastrófico"),AND(K105="Media",O105="Catastrófico"),AND(K105="Alta",O105="Catastrófico"),AND(K105="Muy Alta",O105="Catastrófico")),"Extremo",""))))</f>
        <v>Moderado</v>
      </c>
      <c r="R105" s="163">
        <v>1</v>
      </c>
      <c r="S105" s="183" t="s">
        <v>453</v>
      </c>
      <c r="T105" s="164" t="str">
        <f>IF(OR(U105="Preventivo",U105="Detectivo"),"Probabilidad",IF(U105="Correctivo","Impacto",""))</f>
        <v>Probabilidad</v>
      </c>
      <c r="U105" s="165" t="s">
        <v>14</v>
      </c>
      <c r="V105" s="165" t="s">
        <v>8</v>
      </c>
      <c r="W105" s="166" t="str">
        <f>IF(AND(U105="Preventivo",V105="Automático"),"50%",IF(AND(U105="Preventivo",V105="Manual"),"40%",IF(AND(U105="Detectivo",V105="Automático"),"40%",IF(AND(U105="Detectivo",V105="Manual"),"30%",IF(AND(U105="Correctivo",V105="Automático"),"35%",IF(AND(U105="Correctivo",V105="Manual"),"25%",""))))))</f>
        <v>30%</v>
      </c>
      <c r="X105" s="165" t="s">
        <v>18</v>
      </c>
      <c r="Y105" s="165" t="s">
        <v>21</v>
      </c>
      <c r="Z105" s="165" t="s">
        <v>116</v>
      </c>
      <c r="AA105" s="167">
        <f>IFERROR(IF(T105="Probabilidad",(L105-(+L105*W105)),IF(T105="Impacto",L105,"")),"")</f>
        <v>0.28000000000000003</v>
      </c>
      <c r="AB105" s="168" t="str">
        <f>IFERROR(IF(AA105="","",IF(AA105&lt;=0.2,"Muy Baja",IF(AA105&lt;=0.4,"Baja",IF(AA105&lt;=0.6,"Media",IF(AA105&lt;=0.8,"Alta","Muy Alta"))))),"")</f>
        <v>Baja</v>
      </c>
      <c r="AC105" s="169">
        <f>+AA105</f>
        <v>0.28000000000000003</v>
      </c>
      <c r="AD105" s="168" t="str">
        <f>IFERROR(IF(AE105="","",IF(AE105&lt;=0.2,"Leve",IF(AE105&lt;=0.4,"Menor",IF(AE105&lt;=0.6,"Moderado",IF(AE105&lt;=0.8,"Mayor","Catastrófico"))))),"")</f>
        <v>Moderado</v>
      </c>
      <c r="AE105" s="169">
        <f>IFERROR(IF(T105="Impacto",(P105-(+P105*W105)),IF(T105="Probabilidad",P105,"")),"")</f>
        <v>0.6</v>
      </c>
      <c r="AF105" s="170" t="str">
        <f>IFERROR(IF(OR(AND(AB105="Muy Baja",AD105="Leve"),AND(AB105="Muy Baja",AD105="Menor"),AND(AB105="Baja",AD105="Leve")),"Bajo",IF(OR(AND(AB105="Muy baja",AD105="Moderado"),AND(AB105="Baja",AD105="Menor"),AND(AB105="Baja",AD105="Moderado"),AND(AB105="Media",AD105="Leve"),AND(AB105="Media",AD105="Menor"),AND(AB105="Media",AD105="Moderado"),AND(AB105="Alta",AD105="Leve"),AND(AB105="Alta",AD105="Menor")),"Moderado",IF(OR(AND(AB105="Muy Baja",AD105="Mayor"),AND(AB105="Baja",AD105="Mayor"),AND(AB105="Media",AD105="Mayor"),AND(AB105="Alta",AD105="Moderado"),AND(AB105="Alta",AD105="Mayor"),AND(AB105="Muy Alta",AD105="Leve"),AND(AB105="Muy Alta",AD105="Menor"),AND(AB105="Muy Alta",AD105="Moderado"),AND(AB105="Muy Alta",AD105="Mayor")),"Alto",IF(OR(AND(AB105="Muy Baja",AD105="Catastrófico"),AND(AB105="Baja",AD105="Catastrófico"),AND(AB105="Media",AD105="Catastrófico"),AND(AB105="Alta",AD105="Catastrófico"),AND(AB105="Muy Alta",AD105="Catastrófico")),"Extremo","")))),"")</f>
        <v>Moderado</v>
      </c>
      <c r="AG105" s="171" t="s">
        <v>131</v>
      </c>
      <c r="AH105" s="230" t="s">
        <v>454</v>
      </c>
      <c r="AI105" s="172" t="s">
        <v>306</v>
      </c>
      <c r="AJ105" s="172" t="s">
        <v>307</v>
      </c>
      <c r="AK105" s="172" t="s">
        <v>455</v>
      </c>
      <c r="AL105" s="172" t="s">
        <v>455</v>
      </c>
      <c r="AM105" s="172" t="s">
        <v>455</v>
      </c>
      <c r="AN105" s="172" t="s">
        <v>455</v>
      </c>
      <c r="AO105" s="172" t="s">
        <v>455</v>
      </c>
      <c r="AP105" s="172" t="s">
        <v>455</v>
      </c>
      <c r="AQ105" s="165" t="s">
        <v>39</v>
      </c>
    </row>
    <row r="106" spans="1:43" ht="42.75" x14ac:dyDescent="0.3">
      <c r="A106" s="313"/>
      <c r="B106" s="293"/>
      <c r="C106" s="293"/>
      <c r="D106" s="293"/>
      <c r="E106" s="293"/>
      <c r="F106" s="152"/>
      <c r="G106" s="282"/>
      <c r="H106" s="153" t="s">
        <v>456</v>
      </c>
      <c r="I106" s="293"/>
      <c r="J106" s="295"/>
      <c r="K106" s="288"/>
      <c r="L106" s="291"/>
      <c r="M106" s="303"/>
      <c r="N106" s="317">
        <f t="shared" ref="N106:N109" si="85">IF(NOT(ISERROR(MATCH(M106,_xlfn.ANCHORARRAY(H117),0))),L119&amp;"Por favor no seleccionar los criterios de impacto",M106)</f>
        <v>0</v>
      </c>
      <c r="O106" s="288"/>
      <c r="P106" s="291"/>
      <c r="Q106" s="284"/>
      <c r="R106" s="163">
        <v>2</v>
      </c>
      <c r="S106" s="183" t="s">
        <v>457</v>
      </c>
      <c r="T106" s="164" t="str">
        <f>IF(OR(U106="Preventivo",U106="Detectivo"),"Probabilidad",IF(U106="Correctivo","Impacto",""))</f>
        <v>Probabilidad</v>
      </c>
      <c r="U106" s="165" t="s">
        <v>14</v>
      </c>
      <c r="V106" s="165" t="s">
        <v>8</v>
      </c>
      <c r="W106" s="166" t="str">
        <f t="shared" ref="W106:W110" si="86">IF(AND(U106="Preventivo",V106="Automático"),"50%",IF(AND(U106="Preventivo",V106="Manual"),"40%",IF(AND(U106="Detectivo",V106="Automático"),"40%",IF(AND(U106="Detectivo",V106="Manual"),"30%",IF(AND(U106="Correctivo",V106="Automático"),"35%",IF(AND(U106="Correctivo",V106="Manual"),"25%",""))))))</f>
        <v>30%</v>
      </c>
      <c r="X106" s="165" t="s">
        <v>18</v>
      </c>
      <c r="Y106" s="165" t="s">
        <v>21</v>
      </c>
      <c r="Z106" s="165" t="s">
        <v>116</v>
      </c>
      <c r="AA106" s="167">
        <f>IFERROR(IF(AND(T105="Probabilidad",T106="Probabilidad"),(AC105-(+AC105*W106)),IF(T106="Probabilidad",(L105-(+L105*W106)),IF(T106="Impacto",AC105,""))),"")</f>
        <v>0.19600000000000001</v>
      </c>
      <c r="AB106" s="168" t="str">
        <f t="shared" ref="AB106:AB128" si="87">IFERROR(IF(AA106="","",IF(AA106&lt;=0.2,"Muy Baja",IF(AA106&lt;=0.4,"Baja",IF(AA106&lt;=0.6,"Media",IF(AA106&lt;=0.8,"Alta","Muy Alta"))))),"")</f>
        <v>Muy Baja</v>
      </c>
      <c r="AC106" s="169">
        <f t="shared" ref="AC106:AC110" si="88">+AA106</f>
        <v>0.19600000000000001</v>
      </c>
      <c r="AD106" s="168" t="str">
        <f t="shared" ref="AD106:AD134" si="89">IFERROR(IF(AE106="","",IF(AE106&lt;=0.2,"Leve",IF(AE106&lt;=0.4,"Menor",IF(AE106&lt;=0.6,"Moderado",IF(AE106&lt;=0.8,"Mayor","Catastrófico"))))),"")</f>
        <v>Moderado</v>
      </c>
      <c r="AE106" s="169">
        <f>IFERROR(IF(AND(T105="Impacto",T106="Impacto"),(AE105-(+AE105*W106)),IF(T106="Impacto",(P105-(+P105*W106)),IF(T106="Probabilidad",AE105,""))),"")</f>
        <v>0.6</v>
      </c>
      <c r="AF106" s="170" t="str">
        <f t="shared" ref="AF106:AF107" si="90">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Moderado</v>
      </c>
      <c r="AG106" s="171" t="s">
        <v>131</v>
      </c>
      <c r="AH106" s="172" t="s">
        <v>458</v>
      </c>
      <c r="AI106" s="172" t="s">
        <v>306</v>
      </c>
      <c r="AJ106" s="172" t="s">
        <v>307</v>
      </c>
      <c r="AK106" s="172" t="s">
        <v>455</v>
      </c>
      <c r="AL106" s="172" t="s">
        <v>455</v>
      </c>
      <c r="AM106" s="172" t="s">
        <v>455</v>
      </c>
      <c r="AN106" s="172" t="s">
        <v>455</v>
      </c>
      <c r="AO106" s="172" t="s">
        <v>455</v>
      </c>
      <c r="AP106" s="172" t="s">
        <v>455</v>
      </c>
      <c r="AQ106" s="165" t="s">
        <v>39</v>
      </c>
    </row>
    <row r="107" spans="1:43" x14ac:dyDescent="0.3">
      <c r="A107" s="313"/>
      <c r="B107" s="293"/>
      <c r="C107" s="293"/>
      <c r="D107" s="293"/>
      <c r="E107" s="293"/>
      <c r="F107" s="152"/>
      <c r="G107" s="282"/>
      <c r="H107" s="153"/>
      <c r="I107" s="293"/>
      <c r="J107" s="295"/>
      <c r="K107" s="288"/>
      <c r="L107" s="291"/>
      <c r="M107" s="303"/>
      <c r="N107" s="317">
        <f t="shared" si="85"/>
        <v>0</v>
      </c>
      <c r="O107" s="288"/>
      <c r="P107" s="291"/>
      <c r="Q107" s="284"/>
      <c r="R107" s="163">
        <v>3</v>
      </c>
      <c r="S107" s="174"/>
      <c r="T107" s="164" t="str">
        <f>IF(OR(U107="Preventivo",U107="Detectivo"),"Probabilidad",IF(U107="Correctivo","Impacto",""))</f>
        <v/>
      </c>
      <c r="U107" s="165"/>
      <c r="V107" s="165"/>
      <c r="W107" s="166" t="str">
        <f t="shared" si="86"/>
        <v/>
      </c>
      <c r="X107" s="165"/>
      <c r="Y107" s="165"/>
      <c r="Z107" s="165"/>
      <c r="AA107" s="167" t="str">
        <f>IFERROR(IF(AND(T106="Probabilidad",T107="Probabilidad"),(AC106-(+AC106*W107)),IF(AND(T106="Impacto",T107="Probabilidad"),(AC105-(+AC105*W107)),IF(T107="Impacto",AC106,""))),"")</f>
        <v/>
      </c>
      <c r="AB107" s="168" t="str">
        <f t="shared" si="87"/>
        <v/>
      </c>
      <c r="AC107" s="169" t="str">
        <f t="shared" si="88"/>
        <v/>
      </c>
      <c r="AD107" s="168" t="str">
        <f t="shared" si="89"/>
        <v/>
      </c>
      <c r="AE107" s="169" t="str">
        <f>IFERROR(IF(AND(T106="Impacto",T107="Impacto"),(AE106-(+AE106*W107)),IF(AND(T106="Probabilidad",T107="Impacto"),(AE105-(+AE105*W107)),IF(T107="Probabilidad",AE106,""))),"")</f>
        <v/>
      </c>
      <c r="AF107" s="170" t="str">
        <f t="shared" si="90"/>
        <v/>
      </c>
      <c r="AG107" s="171"/>
      <c r="AH107" s="172"/>
      <c r="AI107" s="172"/>
      <c r="AJ107" s="172"/>
      <c r="AK107" s="172"/>
      <c r="AL107" s="172"/>
      <c r="AM107" s="165"/>
      <c r="AN107" s="173"/>
      <c r="AO107" s="173"/>
      <c r="AP107" s="172"/>
      <c r="AQ107" s="165"/>
    </row>
    <row r="108" spans="1:43" x14ac:dyDescent="0.3">
      <c r="A108" s="313"/>
      <c r="B108" s="293"/>
      <c r="C108" s="293"/>
      <c r="D108" s="293"/>
      <c r="E108" s="293"/>
      <c r="F108" s="152"/>
      <c r="G108" s="282"/>
      <c r="H108" s="153"/>
      <c r="I108" s="293"/>
      <c r="J108" s="295"/>
      <c r="K108" s="288"/>
      <c r="L108" s="291"/>
      <c r="M108" s="303"/>
      <c r="N108" s="317">
        <f t="shared" si="85"/>
        <v>0</v>
      </c>
      <c r="O108" s="288"/>
      <c r="P108" s="291"/>
      <c r="Q108" s="284"/>
      <c r="R108" s="163">
        <v>4</v>
      </c>
      <c r="S108" s="183"/>
      <c r="T108" s="164" t="str">
        <f t="shared" ref="T108:T110" si="91">IF(OR(U108="Preventivo",U108="Detectivo"),"Probabilidad",IF(U108="Correctivo","Impacto",""))</f>
        <v/>
      </c>
      <c r="U108" s="165"/>
      <c r="V108" s="165"/>
      <c r="W108" s="166" t="str">
        <f t="shared" si="86"/>
        <v/>
      </c>
      <c r="X108" s="165"/>
      <c r="Y108" s="165"/>
      <c r="Z108" s="165"/>
      <c r="AA108" s="167" t="str">
        <f>IFERROR(IF(AND(T107="Probabilidad",T108="Probabilidad"),(AC107-(+AC107*W108)),IF(AND(T107="Impacto",T108="Probabilidad"),(AC106-(+AC106*W108)),IF(T108="Impacto",AC107,""))),"")</f>
        <v/>
      </c>
      <c r="AB108" s="168" t="str">
        <f t="shared" si="87"/>
        <v/>
      </c>
      <c r="AC108" s="169" t="str">
        <f t="shared" si="88"/>
        <v/>
      </c>
      <c r="AD108" s="168" t="str">
        <f t="shared" si="89"/>
        <v/>
      </c>
      <c r="AE108" s="169" t="str">
        <f>IFERROR(IF(AND(T107="Impacto",T108="Impacto"),(AE107-(+AE107*W108)),IF(AND(T107="Probabilidad",T108="Impacto"),(AE106-(+AE106*W108)),IF(T108="Probabilidad",AE107,""))),"")</f>
        <v/>
      </c>
      <c r="AF108" s="170" t="str">
        <f>IFERROR(IF(OR(AND(AB108="Muy Baja",AD108="Leve"),AND(AB108="Muy Baja",AD108="Menor"),AND(AB108="Baja",AD108="Leve")),"Bajo",IF(OR(AND(AB108="Muy baja",AD108="Moderado"),AND(AB108="Baja",AD108="Menor"),AND(AB108="Baja",AD108="Moderado"),AND(AB108="Media",AD108="Leve"),AND(AB108="Media",AD108="Menor"),AND(AB108="Media",AD108="Moderado"),AND(AB108="Alta",AD108="Leve"),AND(AB108="Alta",AD108="Menor")),"Moderado",IF(OR(AND(AB108="Muy Baja",AD108="Mayor"),AND(AB108="Baja",AD108="Mayor"),AND(AB108="Media",AD108="Mayor"),AND(AB108="Alta",AD108="Moderado"),AND(AB108="Alta",AD108="Mayor"),AND(AB108="Muy Alta",AD108="Leve"),AND(AB108="Muy Alta",AD108="Menor"),AND(AB108="Muy Alta",AD108="Moderado"),AND(AB108="Muy Alta",AD108="Mayor")),"Alto",IF(OR(AND(AB108="Muy Baja",AD108="Catastrófico"),AND(AB108="Baja",AD108="Catastrófico"),AND(AB108="Media",AD108="Catastrófico"),AND(AB108="Alta",AD108="Catastrófico"),AND(AB108="Muy Alta",AD108="Catastrófico")),"Extremo","")))),"")</f>
        <v/>
      </c>
      <c r="AG108" s="171"/>
      <c r="AH108" s="172"/>
      <c r="AI108" s="172"/>
      <c r="AJ108" s="172"/>
      <c r="AK108" s="172"/>
      <c r="AL108" s="172"/>
      <c r="AM108" s="165"/>
      <c r="AN108" s="173"/>
      <c r="AO108" s="173"/>
      <c r="AP108" s="172"/>
      <c r="AQ108" s="165"/>
    </row>
    <row r="109" spans="1:43" x14ac:dyDescent="0.3">
      <c r="A109" s="313"/>
      <c r="B109" s="293"/>
      <c r="C109" s="293"/>
      <c r="D109" s="293"/>
      <c r="E109" s="293"/>
      <c r="F109" s="152"/>
      <c r="G109" s="282"/>
      <c r="H109" s="153"/>
      <c r="I109" s="293"/>
      <c r="J109" s="295"/>
      <c r="K109" s="288"/>
      <c r="L109" s="291"/>
      <c r="M109" s="303"/>
      <c r="N109" s="317">
        <f t="shared" si="85"/>
        <v>0</v>
      </c>
      <c r="O109" s="288"/>
      <c r="P109" s="291"/>
      <c r="Q109" s="284"/>
      <c r="R109" s="163">
        <v>5</v>
      </c>
      <c r="S109" s="183"/>
      <c r="T109" s="164" t="str">
        <f t="shared" si="91"/>
        <v/>
      </c>
      <c r="U109" s="165"/>
      <c r="V109" s="165"/>
      <c r="W109" s="166" t="str">
        <f t="shared" si="86"/>
        <v/>
      </c>
      <c r="X109" s="165"/>
      <c r="Y109" s="165"/>
      <c r="Z109" s="165"/>
      <c r="AA109" s="194" t="str">
        <f>IFERROR(IF(AND(T108="Probabilidad",T109="Probabilidad"),(AC108-(+AC108*W109)),IF(AND(T108="Impacto",T109="Probabilidad"),(AC107-(+AC107*W109)),IF(T109="Impacto",AC108,""))),"")</f>
        <v/>
      </c>
      <c r="AB109" s="168" t="str">
        <f>IFERROR(IF(AA109="","",IF(AA109&lt;=0.2,"Muy Baja",IF(AA109&lt;=0.4,"Baja",IF(AA109&lt;=0.6,"Media",IF(AA109&lt;=0.8,"Alta","Muy Alta"))))),"")</f>
        <v/>
      </c>
      <c r="AC109" s="169" t="str">
        <f t="shared" si="88"/>
        <v/>
      </c>
      <c r="AD109" s="168" t="str">
        <f t="shared" si="89"/>
        <v/>
      </c>
      <c r="AE109" s="169" t="str">
        <f>IFERROR(IF(AND(T108="Impacto",T109="Impacto"),(AE108-(+AE108*W109)),IF(AND(T108="Probabilidad",T109="Impacto"),(AE107-(+AE107*W109)),IF(T109="Probabilidad",AE108,""))),"")</f>
        <v/>
      </c>
      <c r="AF109" s="170" t="str">
        <f t="shared" ref="AF109:AF110" si="92">IFERROR(IF(OR(AND(AB109="Muy Baja",AD109="Leve"),AND(AB109="Muy Baja",AD109="Menor"),AND(AB109="Baja",AD109="Leve")),"Bajo",IF(OR(AND(AB109="Muy baja",AD109="Moderado"),AND(AB109="Baja",AD109="Menor"),AND(AB109="Baja",AD109="Moderado"),AND(AB109="Media",AD109="Leve"),AND(AB109="Media",AD109="Menor"),AND(AB109="Media",AD109="Moderado"),AND(AB109="Alta",AD109="Leve"),AND(AB109="Alta",AD109="Menor")),"Moderado",IF(OR(AND(AB109="Muy Baja",AD109="Mayor"),AND(AB109="Baja",AD109="Mayor"),AND(AB109="Media",AD109="Mayor"),AND(AB109="Alta",AD109="Moderado"),AND(AB109="Alta",AD109="Mayor"),AND(AB109="Muy Alta",AD109="Leve"),AND(AB109="Muy Alta",AD109="Menor"),AND(AB109="Muy Alta",AD109="Moderado"),AND(AB109="Muy Alta",AD109="Mayor")),"Alto",IF(OR(AND(AB109="Muy Baja",AD109="Catastrófico"),AND(AB109="Baja",AD109="Catastrófico"),AND(AB109="Media",AD109="Catastrófico"),AND(AB109="Alta",AD109="Catastrófico"),AND(AB109="Muy Alta",AD109="Catastrófico")),"Extremo","")))),"")</f>
        <v/>
      </c>
      <c r="AG109" s="171"/>
      <c r="AH109" s="172"/>
      <c r="AI109" s="172"/>
      <c r="AJ109" s="172"/>
      <c r="AK109" s="172"/>
      <c r="AL109" s="172"/>
      <c r="AM109" s="165"/>
      <c r="AN109" s="173"/>
      <c r="AO109" s="173"/>
      <c r="AP109" s="172"/>
      <c r="AQ109" s="165"/>
    </row>
    <row r="110" spans="1:43" x14ac:dyDescent="0.3">
      <c r="A110" s="314"/>
      <c r="B110" s="294"/>
      <c r="C110" s="294"/>
      <c r="D110" s="294"/>
      <c r="E110" s="294"/>
      <c r="F110" s="162"/>
      <c r="G110" s="298"/>
      <c r="H110" s="175"/>
      <c r="I110" s="294"/>
      <c r="J110" s="296"/>
      <c r="K110" s="289"/>
      <c r="L110" s="292"/>
      <c r="M110" s="304"/>
      <c r="N110" s="318">
        <f>IF(NOT(ISERROR(MATCH(M110,_xlfn.ANCHORARRAY(H121),0))),#REF!&amp;"Por favor no seleccionar los criterios de impacto",M110)</f>
        <v>0</v>
      </c>
      <c r="O110" s="289"/>
      <c r="P110" s="292"/>
      <c r="Q110" s="285"/>
      <c r="R110" s="163">
        <v>6</v>
      </c>
      <c r="S110" s="183"/>
      <c r="T110" s="164" t="str">
        <f t="shared" si="91"/>
        <v/>
      </c>
      <c r="U110" s="165"/>
      <c r="V110" s="165"/>
      <c r="W110" s="166" t="str">
        <f t="shared" si="86"/>
        <v/>
      </c>
      <c r="X110" s="165"/>
      <c r="Y110" s="165"/>
      <c r="Z110" s="165"/>
      <c r="AA110" s="167" t="str">
        <f>IFERROR(IF(AND(T109="Probabilidad",T110="Probabilidad"),(AC109-(+AC109*W110)),IF(AND(T109="Impacto",T110="Probabilidad"),(AC108-(+AC108*W110)),IF(T110="Impacto",AC109,""))),"")</f>
        <v/>
      </c>
      <c r="AB110" s="168" t="str">
        <f t="shared" si="87"/>
        <v/>
      </c>
      <c r="AC110" s="169" t="str">
        <f t="shared" si="88"/>
        <v/>
      </c>
      <c r="AD110" s="168" t="str">
        <f t="shared" si="89"/>
        <v/>
      </c>
      <c r="AE110" s="169" t="str">
        <f>IFERROR(IF(AND(T109="Impacto",T110="Impacto"),(AE109-(+AE109*W110)),IF(AND(T109="Probabilidad",T110="Impacto"),(AE108-(+AE108*W110)),IF(T110="Probabilidad",AE109,""))),"")</f>
        <v/>
      </c>
      <c r="AF110" s="170" t="str">
        <f t="shared" si="92"/>
        <v/>
      </c>
      <c r="AG110" s="171"/>
      <c r="AH110" s="172"/>
      <c r="AI110" s="172"/>
      <c r="AJ110" s="172"/>
      <c r="AK110" s="172"/>
      <c r="AL110" s="172"/>
      <c r="AM110" s="165"/>
      <c r="AN110" s="173"/>
      <c r="AO110" s="173"/>
      <c r="AP110" s="172"/>
      <c r="AQ110" s="165"/>
    </row>
    <row r="111" spans="1:43" ht="71.25" x14ac:dyDescent="0.3">
      <c r="A111" s="312">
        <v>2</v>
      </c>
      <c r="B111" s="311" t="s">
        <v>127</v>
      </c>
      <c r="C111" s="311" t="s">
        <v>239</v>
      </c>
      <c r="D111" s="311" t="s">
        <v>248</v>
      </c>
      <c r="E111" s="311" t="s">
        <v>261</v>
      </c>
      <c r="F111" s="185" t="s">
        <v>459</v>
      </c>
      <c r="G111" s="281" t="s">
        <v>460</v>
      </c>
      <c r="H111" s="177"/>
      <c r="I111" s="311" t="s">
        <v>120</v>
      </c>
      <c r="J111" s="308">
        <v>20</v>
      </c>
      <c r="K111" s="287" t="str">
        <f>IF(J111&lt;=0,"",IF(J111&lt;=2,"Muy Baja",IF(J111&lt;=24,"Baja",IF(J111&lt;=500,"Media",IF(J111&lt;=5000,"Alta","Muy Alta")))))</f>
        <v>Baja</v>
      </c>
      <c r="L111" s="290">
        <f>IF(K111="","",IF(K111="Muy Baja",0.2,IF(K111="Baja",0.4,IF(K111="Media",0.6,IF(K111="Alta",0.8,IF(K111="Muy Alta",1,))))))</f>
        <v>0.4</v>
      </c>
      <c r="M111" s="305" t="s">
        <v>149</v>
      </c>
      <c r="N111" s="290" t="str">
        <f>IF(NOT(ISERROR(MATCH(M111,'[3]Tabla Impacto'!$B$221:$B$223,0))),'[3]Tabla Impacto'!$F$223&amp;"Por favor no seleccionar los criterios de impacto(Afectación Económica o presupuestal y Pérdida Reputacional)",M111)</f>
        <v xml:space="preserve">     El riesgo afecta la imagen de de la entidad con efecto publicitario sostenido a nivel de sector administrativo, nivel departamental o municipal</v>
      </c>
      <c r="O111" s="287" t="str">
        <f>IF(OR(N111='[3]Tabla Impacto'!$C$11,N111='[3]Tabla Impacto'!$D$11),"Leve",IF(OR(N111='[3]Tabla Impacto'!$C$12,N111='[3]Tabla Impacto'!$D$12),"Menor",IF(OR(N111='[3]Tabla Impacto'!$C$13,N111='[3]Tabla Impacto'!$D$13),"Moderado",IF(OR(N111='[3]Tabla Impacto'!$C$14,N111='[3]Tabla Impacto'!$D$14),"Mayor",IF(OR(N111='[3]Tabla Impacto'!$C$15,N111='[3]Tabla Impacto'!$D$15),"Catastrófico","")))))</f>
        <v>Mayor</v>
      </c>
      <c r="P111" s="290">
        <f>IF(O111="","",IF(O111="Leve",0.2,IF(O111="Menor",0.4,IF(O111="Moderado",0.6,IF(O111="Mayor",0.8,IF(O111="Catastrófico",1,))))))</f>
        <v>0.8</v>
      </c>
      <c r="Q111" s="283" t="str">
        <f>IF(OR(AND(K111="Muy Baja",O111="Leve"),AND(K111="Muy Baja",O111="Menor"),AND(K111="Baja",O111="Leve")),"Bajo",IF(OR(AND(K111="Muy baja",O111="Moderado"),AND(K111="Baja",O111="Menor"),AND(K111="Baja",O111="Moderado"),AND(K111="Media",O111="Leve"),AND(K111="Media",O111="Menor"),AND(K111="Media",O111="Moderado"),AND(K111="Alta",O111="Leve"),AND(K111="Alta",O111="Menor")),"Moderado",IF(OR(AND(K111="Muy Baja",O111="Mayor"),AND(K111="Baja",O111="Mayor"),AND(K111="Media",O111="Mayor"),AND(K111="Alta",O111="Moderado"),AND(K111="Alta",O111="Mayor"),AND(K111="Muy Alta",O111="Leve"),AND(K111="Muy Alta",O111="Menor"),AND(K111="Muy Alta",O111="Moderado"),AND(K111="Muy Alta",O111="Mayor")),"Alto",IF(OR(AND(K111="Muy Baja",O111="Catastrófico"),AND(K111="Baja",O111="Catastrófico"),AND(K111="Media",O111="Catastrófico"),AND(K111="Alta",O111="Catastrófico"),AND(K111="Muy Alta",O111="Catastrófico")),"Extremo",""))))</f>
        <v>Alto</v>
      </c>
      <c r="R111" s="163">
        <v>1</v>
      </c>
      <c r="S111" s="183" t="s">
        <v>453</v>
      </c>
      <c r="T111" s="164" t="str">
        <f>IF(OR(U111="Preventivo",U111="Detectivo"),"Probabilidad",IF(U111="Correctivo","Impacto",""))</f>
        <v>Probabilidad</v>
      </c>
      <c r="U111" s="165" t="s">
        <v>14</v>
      </c>
      <c r="V111" s="165" t="s">
        <v>8</v>
      </c>
      <c r="W111" s="166" t="str">
        <f>IF(AND(U111="Preventivo",V111="Automático"),"50%",IF(AND(U111="Preventivo",V111="Manual"),"40%",IF(AND(U111="Detectivo",V111="Automático"),"40%",IF(AND(U111="Detectivo",V111="Manual"),"30%",IF(AND(U111="Correctivo",V111="Automático"),"35%",IF(AND(U111="Correctivo",V111="Manual"),"25%",""))))))</f>
        <v>30%</v>
      </c>
      <c r="X111" s="165" t="s">
        <v>18</v>
      </c>
      <c r="Y111" s="165" t="s">
        <v>21</v>
      </c>
      <c r="Z111" s="165" t="s">
        <v>116</v>
      </c>
      <c r="AA111" s="167">
        <f>IFERROR(IF(T111="Probabilidad",(L111-(+L111*W111)),IF(T111="Impacto",L111,"")),"")</f>
        <v>0.28000000000000003</v>
      </c>
      <c r="AB111" s="168" t="str">
        <f>IFERROR(IF(AA111="","",IF(AA111&lt;=0.2,"Muy Baja",IF(AA111&lt;=0.4,"Baja",IF(AA111&lt;=0.6,"Media",IF(AA111&lt;=0.8,"Alta","Muy Alta"))))),"")</f>
        <v>Baja</v>
      </c>
      <c r="AC111" s="169">
        <f>+AA111</f>
        <v>0.28000000000000003</v>
      </c>
      <c r="AD111" s="168" t="str">
        <f>IFERROR(IF(AE111="","",IF(AE111&lt;=0.2,"Leve",IF(AE111&lt;=0.4,"Menor",IF(AE111&lt;=0.6,"Moderado",IF(AE111&lt;=0.8,"Mayor","Catastrófico"))))),"")</f>
        <v>Mayor</v>
      </c>
      <c r="AE111" s="169">
        <f>IFERROR(IF(T111="Impacto",(P111-(+P111*W111)),IF(T111="Probabilidad",P111,"")),"")</f>
        <v>0.8</v>
      </c>
      <c r="AF111" s="170" t="str">
        <f>IFERROR(IF(OR(AND(AB111="Muy Baja",AD111="Leve"),AND(AB111="Muy Baja",AD111="Menor"),AND(AB111="Baja",AD111="Leve")),"Bajo",IF(OR(AND(AB111="Muy baja",AD111="Moderado"),AND(AB111="Baja",AD111="Menor"),AND(AB111="Baja",AD111="Moderado"),AND(AB111="Media",AD111="Leve"),AND(AB111="Media",AD111="Menor"),AND(AB111="Media",AD111="Moderado"),AND(AB111="Alta",AD111="Leve"),AND(AB111="Alta",AD111="Menor")),"Moderado",IF(OR(AND(AB111="Muy Baja",AD111="Mayor"),AND(AB111="Baja",AD111="Mayor"),AND(AB111="Media",AD111="Mayor"),AND(AB111="Alta",AD111="Moderado"),AND(AB111="Alta",AD111="Mayor"),AND(AB111="Muy Alta",AD111="Leve"),AND(AB111="Muy Alta",AD111="Menor"),AND(AB111="Muy Alta",AD111="Moderado"),AND(AB111="Muy Alta",AD111="Mayor")),"Alto",IF(OR(AND(AB111="Muy Baja",AD111="Catastrófico"),AND(AB111="Baja",AD111="Catastrófico"),AND(AB111="Media",AD111="Catastrófico"),AND(AB111="Alta",AD111="Catastrófico"),AND(AB111="Muy Alta",AD111="Catastrófico")),"Extremo","")))),"")</f>
        <v>Alto</v>
      </c>
      <c r="AG111" s="171" t="s">
        <v>131</v>
      </c>
      <c r="AH111" s="172" t="s">
        <v>461</v>
      </c>
      <c r="AI111" s="172" t="s">
        <v>306</v>
      </c>
      <c r="AJ111" s="172" t="s">
        <v>307</v>
      </c>
      <c r="AK111" s="172" t="s">
        <v>455</v>
      </c>
      <c r="AL111" s="172" t="s">
        <v>455</v>
      </c>
      <c r="AM111" s="165" t="s">
        <v>455</v>
      </c>
      <c r="AN111" s="173" t="s">
        <v>455</v>
      </c>
      <c r="AO111" s="173" t="s">
        <v>455</v>
      </c>
      <c r="AP111" s="172" t="s">
        <v>455</v>
      </c>
      <c r="AQ111" s="165" t="s">
        <v>39</v>
      </c>
    </row>
    <row r="112" spans="1:43" x14ac:dyDescent="0.3">
      <c r="A112" s="313"/>
      <c r="B112" s="293"/>
      <c r="C112" s="293"/>
      <c r="D112" s="293"/>
      <c r="E112" s="293"/>
      <c r="F112" s="152"/>
      <c r="G112" s="282"/>
      <c r="H112" s="153"/>
      <c r="I112" s="293"/>
      <c r="J112" s="295"/>
      <c r="K112" s="288"/>
      <c r="L112" s="291"/>
      <c r="M112" s="303"/>
      <c r="N112" s="291">
        <f>IF(NOT(ISERROR(MATCH(M112,_xlfn.ANCHORARRAY(#REF!),0))),#REF!&amp;"Por favor no seleccionar los criterios de impacto",M112)</f>
        <v>0</v>
      </c>
      <c r="O112" s="288"/>
      <c r="P112" s="291"/>
      <c r="Q112" s="284"/>
      <c r="R112" s="163">
        <v>2</v>
      </c>
      <c r="S112" s="183"/>
      <c r="T112" s="164" t="str">
        <f>IF(OR(U112="Preventivo",U112="Detectivo"),"Probabilidad",IF(U112="Correctivo","Impacto",""))</f>
        <v/>
      </c>
      <c r="U112" s="165"/>
      <c r="V112" s="165"/>
      <c r="W112" s="166" t="str">
        <f t="shared" ref="W112:W116" si="93">IF(AND(U112="Preventivo",V112="Automático"),"50%",IF(AND(U112="Preventivo",V112="Manual"),"40%",IF(AND(U112="Detectivo",V112="Automático"),"40%",IF(AND(U112="Detectivo",V112="Manual"),"30%",IF(AND(U112="Correctivo",V112="Automático"),"35%",IF(AND(U112="Correctivo",V112="Manual"),"25%",""))))))</f>
        <v/>
      </c>
      <c r="X112" s="165"/>
      <c r="Y112" s="165"/>
      <c r="Z112" s="165"/>
      <c r="AA112" s="167" t="str">
        <f>IFERROR(IF(AND(T111="Probabilidad",T112="Probabilidad"),(AC111-(+AC111*W112)),IF(T112="Probabilidad",(L111-(+L111*W112)),IF(T112="Impacto",AC111,""))),"")</f>
        <v/>
      </c>
      <c r="AB112" s="168" t="str">
        <f t="shared" si="87"/>
        <v/>
      </c>
      <c r="AC112" s="169" t="str">
        <f t="shared" ref="AC112:AC116" si="94">+AA112</f>
        <v/>
      </c>
      <c r="AD112" s="168" t="str">
        <f t="shared" si="89"/>
        <v/>
      </c>
      <c r="AE112" s="169" t="str">
        <f>IFERROR(IF(AND(T111="Impacto",T112="Impacto"),(AE111-(+AE111*W112)),IF(T112="Impacto",(P111-(+P111*W112)),IF(T112="Probabilidad",AE111,""))),"")</f>
        <v/>
      </c>
      <c r="AF112" s="170" t="str">
        <f t="shared" ref="AF112:AF113" si="95">IFERROR(IF(OR(AND(AB112="Muy Baja",AD112="Leve"),AND(AB112="Muy Baja",AD112="Menor"),AND(AB112="Baja",AD112="Leve")),"Bajo",IF(OR(AND(AB112="Muy baja",AD112="Moderado"),AND(AB112="Baja",AD112="Menor"),AND(AB112="Baja",AD112="Moderado"),AND(AB112="Media",AD112="Leve"),AND(AB112="Media",AD112="Menor"),AND(AB112="Media",AD112="Moderado"),AND(AB112="Alta",AD112="Leve"),AND(AB112="Alta",AD112="Menor")),"Moderado",IF(OR(AND(AB112="Muy Baja",AD112="Mayor"),AND(AB112="Baja",AD112="Mayor"),AND(AB112="Media",AD112="Mayor"),AND(AB112="Alta",AD112="Moderado"),AND(AB112="Alta",AD112="Mayor"),AND(AB112="Muy Alta",AD112="Leve"),AND(AB112="Muy Alta",AD112="Menor"),AND(AB112="Muy Alta",AD112="Moderado"),AND(AB112="Muy Alta",AD112="Mayor")),"Alto",IF(OR(AND(AB112="Muy Baja",AD112="Catastrófico"),AND(AB112="Baja",AD112="Catastrófico"),AND(AB112="Media",AD112="Catastrófico"),AND(AB112="Alta",AD112="Catastrófico"),AND(AB112="Muy Alta",AD112="Catastrófico")),"Extremo","")))),"")</f>
        <v/>
      </c>
      <c r="AG112" s="171"/>
      <c r="AH112" s="172"/>
      <c r="AI112" s="172"/>
      <c r="AJ112" s="172"/>
      <c r="AK112" s="172"/>
      <c r="AL112" s="172"/>
      <c r="AM112" s="165"/>
      <c r="AN112" s="173"/>
      <c r="AO112" s="173"/>
      <c r="AP112" s="172"/>
      <c r="AQ112" s="165"/>
    </row>
    <row r="113" spans="1:43" x14ac:dyDescent="0.3">
      <c r="A113" s="313"/>
      <c r="B113" s="293"/>
      <c r="C113" s="293"/>
      <c r="D113" s="293"/>
      <c r="E113" s="293"/>
      <c r="F113" s="152"/>
      <c r="G113" s="282"/>
      <c r="H113" s="153"/>
      <c r="I113" s="293"/>
      <c r="J113" s="295"/>
      <c r="K113" s="288"/>
      <c r="L113" s="291"/>
      <c r="M113" s="303"/>
      <c r="N113" s="291">
        <f>IF(NOT(ISERROR(MATCH(M113,_xlfn.ANCHORARRAY(#REF!),0))),#REF!&amp;"Por favor no seleccionar los criterios de impacto",M113)</f>
        <v>0</v>
      </c>
      <c r="O113" s="288"/>
      <c r="P113" s="291"/>
      <c r="Q113" s="284"/>
      <c r="R113" s="163">
        <v>3</v>
      </c>
      <c r="S113" s="174"/>
      <c r="T113" s="164" t="str">
        <f>IF(OR(U113="Preventivo",U113="Detectivo"),"Probabilidad",IF(U113="Correctivo","Impacto",""))</f>
        <v/>
      </c>
      <c r="U113" s="165"/>
      <c r="V113" s="165"/>
      <c r="W113" s="166" t="str">
        <f t="shared" si="93"/>
        <v/>
      </c>
      <c r="X113" s="165"/>
      <c r="Y113" s="165"/>
      <c r="Z113" s="165"/>
      <c r="AA113" s="167" t="str">
        <f>IFERROR(IF(AND(T112="Probabilidad",T113="Probabilidad"),(AC112-(+AC112*W113)),IF(AND(T112="Impacto",T113="Probabilidad"),(AC111-(+AC111*W113)),IF(T113="Impacto",AC112,""))),"")</f>
        <v/>
      </c>
      <c r="AB113" s="168" t="str">
        <f t="shared" si="87"/>
        <v/>
      </c>
      <c r="AC113" s="169" t="str">
        <f t="shared" si="94"/>
        <v/>
      </c>
      <c r="AD113" s="168" t="str">
        <f t="shared" si="89"/>
        <v/>
      </c>
      <c r="AE113" s="169" t="str">
        <f>IFERROR(IF(AND(T112="Impacto",T113="Impacto"),(AE112-(+AE112*W113)),IF(AND(T112="Probabilidad",T113="Impacto"),(AE111-(+AE111*W113)),IF(T113="Probabilidad",AE112,""))),"")</f>
        <v/>
      </c>
      <c r="AF113" s="170" t="str">
        <f t="shared" si="95"/>
        <v/>
      </c>
      <c r="AG113" s="171"/>
      <c r="AH113" s="172"/>
      <c r="AI113" s="172"/>
      <c r="AJ113" s="172"/>
      <c r="AK113" s="172"/>
      <c r="AL113" s="172"/>
      <c r="AM113" s="165"/>
      <c r="AN113" s="173"/>
      <c r="AO113" s="173"/>
      <c r="AP113" s="172"/>
      <c r="AQ113" s="165"/>
    </row>
    <row r="114" spans="1:43" x14ac:dyDescent="0.3">
      <c r="A114" s="313"/>
      <c r="B114" s="293"/>
      <c r="C114" s="293"/>
      <c r="D114" s="293"/>
      <c r="E114" s="293"/>
      <c r="F114" s="152"/>
      <c r="G114" s="282"/>
      <c r="H114" s="153"/>
      <c r="I114" s="293"/>
      <c r="J114" s="295"/>
      <c r="K114" s="288"/>
      <c r="L114" s="291"/>
      <c r="M114" s="303"/>
      <c r="N114" s="291">
        <f>IF(NOT(ISERROR(MATCH(M114,_xlfn.ANCHORARRAY(#REF!),0))),#REF!&amp;"Por favor no seleccionar los criterios de impacto",M114)</f>
        <v>0</v>
      </c>
      <c r="O114" s="288"/>
      <c r="P114" s="291"/>
      <c r="Q114" s="284"/>
      <c r="R114" s="163">
        <v>4</v>
      </c>
      <c r="S114" s="183"/>
      <c r="T114" s="164" t="str">
        <f t="shared" ref="T114:T116" si="96">IF(OR(U114="Preventivo",U114="Detectivo"),"Probabilidad",IF(U114="Correctivo","Impacto",""))</f>
        <v/>
      </c>
      <c r="U114" s="165"/>
      <c r="V114" s="165"/>
      <c r="W114" s="166" t="str">
        <f t="shared" si="93"/>
        <v/>
      </c>
      <c r="X114" s="165"/>
      <c r="Y114" s="165"/>
      <c r="Z114" s="165"/>
      <c r="AA114" s="167" t="str">
        <f>IFERROR(IF(AND(T113="Probabilidad",T114="Probabilidad"),(AC113-(+AC113*W114)),IF(AND(T113="Impacto",T114="Probabilidad"),(AC112-(+AC112*W114)),IF(T114="Impacto",AC113,""))),"")</f>
        <v/>
      </c>
      <c r="AB114" s="168" t="str">
        <f t="shared" si="87"/>
        <v/>
      </c>
      <c r="AC114" s="169" t="str">
        <f t="shared" si="94"/>
        <v/>
      </c>
      <c r="AD114" s="168" t="str">
        <f t="shared" si="89"/>
        <v/>
      </c>
      <c r="AE114" s="169" t="str">
        <f>IFERROR(IF(AND(T113="Impacto",T114="Impacto"),(AE113-(+AE113*W114)),IF(AND(T113="Probabilidad",T114="Impacto"),(AE112-(+AE112*W114)),IF(T114="Probabilidad",AE113,""))),"")</f>
        <v/>
      </c>
      <c r="AF114" s="170" t="str">
        <f>IFERROR(IF(OR(AND(AB114="Muy Baja",AD114="Leve"),AND(AB114="Muy Baja",AD114="Menor"),AND(AB114="Baja",AD114="Leve")),"Bajo",IF(OR(AND(AB114="Muy baja",AD114="Moderado"),AND(AB114="Baja",AD114="Menor"),AND(AB114="Baja",AD114="Moderado"),AND(AB114="Media",AD114="Leve"),AND(AB114="Media",AD114="Menor"),AND(AB114="Media",AD114="Moderado"),AND(AB114="Alta",AD114="Leve"),AND(AB114="Alta",AD114="Menor")),"Moderado",IF(OR(AND(AB114="Muy Baja",AD114="Mayor"),AND(AB114="Baja",AD114="Mayor"),AND(AB114="Media",AD114="Mayor"),AND(AB114="Alta",AD114="Moderado"),AND(AB114="Alta",AD114="Mayor"),AND(AB114="Muy Alta",AD114="Leve"),AND(AB114="Muy Alta",AD114="Menor"),AND(AB114="Muy Alta",AD114="Moderado"),AND(AB114="Muy Alta",AD114="Mayor")),"Alto",IF(OR(AND(AB114="Muy Baja",AD114="Catastrófico"),AND(AB114="Baja",AD114="Catastrófico"),AND(AB114="Media",AD114="Catastrófico"),AND(AB114="Alta",AD114="Catastrófico"),AND(AB114="Muy Alta",AD114="Catastrófico")),"Extremo","")))),"")</f>
        <v/>
      </c>
      <c r="AG114" s="171"/>
      <c r="AH114" s="172"/>
      <c r="AI114" s="172"/>
      <c r="AJ114" s="172"/>
      <c r="AK114" s="172"/>
      <c r="AL114" s="172"/>
      <c r="AM114" s="165"/>
      <c r="AN114" s="173"/>
      <c r="AO114" s="173"/>
      <c r="AP114" s="172"/>
      <c r="AQ114" s="165"/>
    </row>
    <row r="115" spans="1:43" x14ac:dyDescent="0.3">
      <c r="A115" s="313"/>
      <c r="B115" s="293"/>
      <c r="C115" s="293"/>
      <c r="D115" s="293"/>
      <c r="E115" s="293"/>
      <c r="F115" s="152"/>
      <c r="G115" s="282"/>
      <c r="H115" s="153"/>
      <c r="I115" s="293"/>
      <c r="J115" s="295"/>
      <c r="K115" s="288"/>
      <c r="L115" s="291"/>
      <c r="M115" s="303"/>
      <c r="N115" s="291">
        <f>IF(NOT(ISERROR(MATCH(M115,_xlfn.ANCHORARRAY(#REF!),0))),#REF!&amp;"Por favor no seleccionar los criterios de impacto",M115)</f>
        <v>0</v>
      </c>
      <c r="O115" s="288"/>
      <c r="P115" s="291"/>
      <c r="Q115" s="284"/>
      <c r="R115" s="163">
        <v>5</v>
      </c>
      <c r="S115" s="183"/>
      <c r="T115" s="164" t="str">
        <f t="shared" si="96"/>
        <v/>
      </c>
      <c r="U115" s="165"/>
      <c r="V115" s="165"/>
      <c r="W115" s="166" t="str">
        <f t="shared" si="93"/>
        <v/>
      </c>
      <c r="X115" s="165"/>
      <c r="Y115" s="165"/>
      <c r="Z115" s="165"/>
      <c r="AA115" s="167" t="str">
        <f>IFERROR(IF(AND(T114="Probabilidad",T115="Probabilidad"),(AC114-(+AC114*W115)),IF(AND(T114="Impacto",T115="Probabilidad"),(AC113-(+AC113*W115)),IF(T115="Impacto",AC114,""))),"")</f>
        <v/>
      </c>
      <c r="AB115" s="168" t="str">
        <f t="shared" si="87"/>
        <v/>
      </c>
      <c r="AC115" s="169" t="str">
        <f t="shared" si="94"/>
        <v/>
      </c>
      <c r="AD115" s="168" t="str">
        <f t="shared" si="89"/>
        <v/>
      </c>
      <c r="AE115" s="169" t="str">
        <f>IFERROR(IF(AND(T114="Impacto",T115="Impacto"),(AE114-(+AE114*W115)),IF(AND(T114="Probabilidad",T115="Impacto"),(AE113-(+AE113*W115)),IF(T115="Probabilidad",AE114,""))),"")</f>
        <v/>
      </c>
      <c r="AF115" s="170" t="str">
        <f t="shared" ref="AF115:AF116" si="97">IFERROR(IF(OR(AND(AB115="Muy Baja",AD115="Leve"),AND(AB115="Muy Baja",AD115="Menor"),AND(AB115="Baja",AD115="Leve")),"Bajo",IF(OR(AND(AB115="Muy baja",AD115="Moderado"),AND(AB115="Baja",AD115="Menor"),AND(AB115="Baja",AD115="Moderado"),AND(AB115="Media",AD115="Leve"),AND(AB115="Media",AD115="Menor"),AND(AB115="Media",AD115="Moderado"),AND(AB115="Alta",AD115="Leve"),AND(AB115="Alta",AD115="Menor")),"Moderado",IF(OR(AND(AB115="Muy Baja",AD115="Mayor"),AND(AB115="Baja",AD115="Mayor"),AND(AB115="Media",AD115="Mayor"),AND(AB115="Alta",AD115="Moderado"),AND(AB115="Alta",AD115="Mayor"),AND(AB115="Muy Alta",AD115="Leve"),AND(AB115="Muy Alta",AD115="Menor"),AND(AB115="Muy Alta",AD115="Moderado"),AND(AB115="Muy Alta",AD115="Mayor")),"Alto",IF(OR(AND(AB115="Muy Baja",AD115="Catastrófico"),AND(AB115="Baja",AD115="Catastrófico"),AND(AB115="Media",AD115="Catastrófico"),AND(AB115="Alta",AD115="Catastrófico"),AND(AB115="Muy Alta",AD115="Catastrófico")),"Extremo","")))),"")</f>
        <v/>
      </c>
      <c r="AG115" s="171"/>
      <c r="AH115" s="172"/>
      <c r="AI115" s="172"/>
      <c r="AJ115" s="172"/>
      <c r="AK115" s="172"/>
      <c r="AL115" s="172"/>
      <c r="AM115" s="165"/>
      <c r="AN115" s="173"/>
      <c r="AO115" s="173"/>
      <c r="AP115" s="172"/>
      <c r="AQ115" s="165"/>
    </row>
    <row r="116" spans="1:43" x14ac:dyDescent="0.3">
      <c r="A116" s="314"/>
      <c r="B116" s="294"/>
      <c r="C116" s="294"/>
      <c r="D116" s="294"/>
      <c r="E116" s="294"/>
      <c r="F116" s="162"/>
      <c r="G116" s="298"/>
      <c r="H116" s="175"/>
      <c r="I116" s="294"/>
      <c r="J116" s="296"/>
      <c r="K116" s="289"/>
      <c r="L116" s="292"/>
      <c r="M116" s="304"/>
      <c r="N116" s="292">
        <f>IF(NOT(ISERROR(MATCH(M116,_xlfn.ANCHORARRAY(#REF!),0))),L123&amp;"Por favor no seleccionar los criterios de impacto",M116)</f>
        <v>0</v>
      </c>
      <c r="O116" s="289"/>
      <c r="P116" s="292"/>
      <c r="Q116" s="285"/>
      <c r="R116" s="163">
        <v>6</v>
      </c>
      <c r="S116" s="183"/>
      <c r="T116" s="164" t="str">
        <f t="shared" si="96"/>
        <v/>
      </c>
      <c r="U116" s="165"/>
      <c r="V116" s="165"/>
      <c r="W116" s="166" t="str">
        <f t="shared" si="93"/>
        <v/>
      </c>
      <c r="X116" s="165"/>
      <c r="Y116" s="165"/>
      <c r="Z116" s="165"/>
      <c r="AA116" s="167" t="str">
        <f>IFERROR(IF(AND(T115="Probabilidad",T116="Probabilidad"),(AC115-(+AC115*W116)),IF(AND(T115="Impacto",T116="Probabilidad"),(AC114-(+AC114*W116)),IF(T116="Impacto",AC115,""))),"")</f>
        <v/>
      </c>
      <c r="AB116" s="168" t="str">
        <f t="shared" si="87"/>
        <v/>
      </c>
      <c r="AC116" s="169" t="str">
        <f t="shared" si="94"/>
        <v/>
      </c>
      <c r="AD116" s="168" t="str">
        <f t="shared" si="89"/>
        <v/>
      </c>
      <c r="AE116" s="169" t="str">
        <f>IFERROR(IF(AND(T115="Impacto",T116="Impacto"),(AE115-(+AE115*W116)),IF(AND(T115="Probabilidad",T116="Impacto"),(AE114-(+AE114*W116)),IF(T116="Probabilidad",AE115,""))),"")</f>
        <v/>
      </c>
      <c r="AF116" s="170" t="str">
        <f t="shared" si="97"/>
        <v/>
      </c>
      <c r="AG116" s="171"/>
      <c r="AH116" s="172"/>
      <c r="AI116" s="172"/>
      <c r="AJ116" s="172"/>
      <c r="AK116" s="172"/>
      <c r="AL116" s="172"/>
      <c r="AM116" s="165"/>
      <c r="AN116" s="173"/>
      <c r="AO116" s="173"/>
      <c r="AP116" s="172"/>
      <c r="AQ116" s="165"/>
    </row>
    <row r="117" spans="1:43" ht="71.25" x14ac:dyDescent="0.3">
      <c r="A117" s="312">
        <v>3</v>
      </c>
      <c r="B117" s="311" t="s">
        <v>127</v>
      </c>
      <c r="C117" s="311" t="s">
        <v>239</v>
      </c>
      <c r="D117" s="311" t="s">
        <v>248</v>
      </c>
      <c r="E117" s="311" t="s">
        <v>261</v>
      </c>
      <c r="F117" s="185" t="s">
        <v>462</v>
      </c>
      <c r="G117" s="281" t="s">
        <v>463</v>
      </c>
      <c r="H117" s="177" t="s">
        <v>464</v>
      </c>
      <c r="I117" s="311" t="s">
        <v>120</v>
      </c>
      <c r="J117" s="308">
        <v>20</v>
      </c>
      <c r="K117" s="287" t="str">
        <f>IF(J117&lt;=0,"",IF(J117&lt;=2,"Muy Baja",IF(J117&lt;=24,"Baja",IF(J117&lt;=500,"Media",IF(J117&lt;=5000,"Alta","Muy Alta")))))</f>
        <v>Baja</v>
      </c>
      <c r="L117" s="290">
        <f>IF(K117="","",IF(K117="Muy Baja",0.2,IF(K117="Baja",0.4,IF(K117="Media",0.6,IF(K117="Alta",0.8,IF(K117="Muy Alta",1,))))))</f>
        <v>0.4</v>
      </c>
      <c r="M117" s="305" t="s">
        <v>148</v>
      </c>
      <c r="N117" s="316" t="str">
        <f>IF(NOT(ISERROR(MATCH(M117,'[3]Tabla Impacto'!$B$221:$B$223,0))),'[3]Tabla Impacto'!$F$223&amp;"Por favor no seleccionar los criterios de impacto(Afectación Económica o presupuestal y Pérdida Reputacional)",M117)</f>
        <v xml:space="preserve">     El riesgo afecta la imagen de la entidad con algunos usuarios de relevancia frente al logro de los objetivos</v>
      </c>
      <c r="O117" s="287" t="str">
        <f>IF(OR(N117='[3]Tabla Impacto'!$C$11,N117='[3]Tabla Impacto'!$D$11),"Leve",IF(OR(N117='[3]Tabla Impacto'!$C$12,N117='[3]Tabla Impacto'!$D$12),"Menor",IF(OR(N117='[3]Tabla Impacto'!$C$13,N117='[3]Tabla Impacto'!$D$13),"Moderado",IF(OR(N117='[3]Tabla Impacto'!$C$14,N117='[3]Tabla Impacto'!$D$14),"Mayor",IF(OR(N117='[3]Tabla Impacto'!$C$15,N117='[3]Tabla Impacto'!$D$15),"Catastrófico","")))))</f>
        <v>Moderado</v>
      </c>
      <c r="P117" s="290">
        <f>IF(O117="","",IF(O117="Leve",0.2,IF(O117="Menor",0.4,IF(O117="Moderado",0.6,IF(O117="Mayor",0.8,IF(O117="Catastrófico",1,))))))</f>
        <v>0.6</v>
      </c>
      <c r="Q117" s="283" t="str">
        <f>IF(OR(AND(K117="Muy Baja",O117="Leve"),AND(K117="Muy Baja",O117="Menor"),AND(K117="Baja",O117="Leve")),"Bajo",IF(OR(AND(K117="Muy baja",O117="Moderado"),AND(K117="Baja",O117="Menor"),AND(K117="Baja",O117="Moderado"),AND(K117="Media",O117="Leve"),AND(K117="Media",O117="Menor"),AND(K117="Media",O117="Moderado"),AND(K117="Alta",O117="Leve"),AND(K117="Alta",O117="Menor")),"Moderado",IF(OR(AND(K117="Muy Baja",O117="Mayor"),AND(K117="Baja",O117="Mayor"),AND(K117="Media",O117="Mayor"),AND(K117="Alta",O117="Moderado"),AND(K117="Alta",O117="Mayor"),AND(K117="Muy Alta",O117="Leve"),AND(K117="Muy Alta",O117="Menor"),AND(K117="Muy Alta",O117="Moderado"),AND(K117="Muy Alta",O117="Mayor")),"Alto",IF(OR(AND(K117="Muy Baja",O117="Catastrófico"),AND(K117="Baja",O117="Catastrófico"),AND(K117="Media",O117="Catastrófico"),AND(K117="Alta",O117="Catastrófico"),AND(K117="Muy Alta",O117="Catastrófico")),"Extremo",""))))</f>
        <v>Moderado</v>
      </c>
      <c r="R117" s="163">
        <v>1</v>
      </c>
      <c r="S117" s="183" t="s">
        <v>465</v>
      </c>
      <c r="T117" s="164" t="str">
        <f>IF(OR(U117="Preventivo",U117="Detectivo"),"Probabilidad",IF(U117="Correctivo","Impacto",""))</f>
        <v>Probabilidad</v>
      </c>
      <c r="U117" s="165" t="s">
        <v>13</v>
      </c>
      <c r="V117" s="165" t="s">
        <v>8</v>
      </c>
      <c r="W117" s="166" t="str">
        <f>IF(AND(U117="Preventivo",V117="Automático"),"50%",IF(AND(U117="Preventivo",V117="Manual"),"40%",IF(AND(U117="Detectivo",V117="Automático"),"40%",IF(AND(U117="Detectivo",V117="Manual"),"30%",IF(AND(U117="Correctivo",V117="Automático"),"35%",IF(AND(U117="Correctivo",V117="Manual"),"25%",""))))))</f>
        <v>40%</v>
      </c>
      <c r="X117" s="165" t="s">
        <v>18</v>
      </c>
      <c r="Y117" s="165" t="s">
        <v>21</v>
      </c>
      <c r="Z117" s="165" t="s">
        <v>116</v>
      </c>
      <c r="AA117" s="167">
        <f>IFERROR(IF(T117="Probabilidad",(L117-(+L117*W117)),IF(T117="Impacto",L117,"")),"")</f>
        <v>0.24</v>
      </c>
      <c r="AB117" s="168" t="str">
        <f>IFERROR(IF(AA117="","",IF(AA117&lt;=0.2,"Muy Baja",IF(AA117&lt;=0.4,"Baja",IF(AA117&lt;=0.6,"Media",IF(AA117&lt;=0.8,"Alta","Muy Alta"))))),"")</f>
        <v>Baja</v>
      </c>
      <c r="AC117" s="169">
        <f>+AA117</f>
        <v>0.24</v>
      </c>
      <c r="AD117" s="168" t="str">
        <f>IFERROR(IF(AE117="","",IF(AE117&lt;=0.2,"Leve",IF(AE117&lt;=0.4,"Menor",IF(AE117&lt;=0.6,"Moderado",IF(AE117&lt;=0.8,"Mayor","Catastrófico"))))),"")</f>
        <v>Moderado</v>
      </c>
      <c r="AE117" s="169">
        <f>IFERROR(IF(T117="Impacto",(P117-(+P117*W117)),IF(T117="Probabilidad",P117,"")),"")</f>
        <v>0.6</v>
      </c>
      <c r="AF117" s="170" t="str">
        <f>IFERROR(IF(OR(AND(AB117="Muy Baja",AD117="Leve"),AND(AB117="Muy Baja",AD117="Menor"),AND(AB117="Baja",AD117="Leve")),"Bajo",IF(OR(AND(AB117="Muy baja",AD117="Moderado"),AND(AB117="Baja",AD117="Menor"),AND(AB117="Baja",AD117="Moderado"),AND(AB117="Media",AD117="Leve"),AND(AB117="Media",AD117="Menor"),AND(AB117="Media",AD117="Moderado"),AND(AB117="Alta",AD117="Leve"),AND(AB117="Alta",AD117="Menor")),"Moderado",IF(OR(AND(AB117="Muy Baja",AD117="Mayor"),AND(AB117="Baja",AD117="Mayor"),AND(AB117="Media",AD117="Mayor"),AND(AB117="Alta",AD117="Moderado"),AND(AB117="Alta",AD117="Mayor"),AND(AB117="Muy Alta",AD117="Leve"),AND(AB117="Muy Alta",AD117="Menor"),AND(AB117="Muy Alta",AD117="Moderado"),AND(AB117="Muy Alta",AD117="Mayor")),"Alto",IF(OR(AND(AB117="Muy Baja",AD117="Catastrófico"),AND(AB117="Baja",AD117="Catastrófico"),AND(AB117="Media",AD117="Catastrófico"),AND(AB117="Alta",AD117="Catastrófico"),AND(AB117="Muy Alta",AD117="Catastrófico")),"Extremo","")))),"")</f>
        <v>Moderado</v>
      </c>
      <c r="AG117" s="171" t="s">
        <v>131</v>
      </c>
      <c r="AH117" s="172" t="s">
        <v>466</v>
      </c>
      <c r="AI117" s="172" t="s">
        <v>306</v>
      </c>
      <c r="AJ117" s="172" t="s">
        <v>307</v>
      </c>
      <c r="AK117" s="172" t="s">
        <v>455</v>
      </c>
      <c r="AL117" s="172" t="s">
        <v>455</v>
      </c>
      <c r="AM117" s="172" t="s">
        <v>455</v>
      </c>
      <c r="AN117" s="172" t="s">
        <v>455</v>
      </c>
      <c r="AO117" s="172" t="s">
        <v>455</v>
      </c>
      <c r="AP117" s="172" t="s">
        <v>455</v>
      </c>
      <c r="AQ117" s="165" t="s">
        <v>39</v>
      </c>
    </row>
    <row r="118" spans="1:43" x14ac:dyDescent="0.3">
      <c r="A118" s="313"/>
      <c r="B118" s="293"/>
      <c r="C118" s="293"/>
      <c r="D118" s="293"/>
      <c r="E118" s="293"/>
      <c r="F118" s="152"/>
      <c r="G118" s="282"/>
      <c r="H118" s="153"/>
      <c r="I118" s="293"/>
      <c r="J118" s="295"/>
      <c r="K118" s="288"/>
      <c r="L118" s="291"/>
      <c r="M118" s="303"/>
      <c r="N118" s="317">
        <f>IF(NOT(ISERROR(MATCH(M118,_xlfn.ANCHORARRAY(H123),0))),L125&amp;"Por favor no seleccionar los criterios de impacto",M118)</f>
        <v>0</v>
      </c>
      <c r="O118" s="288"/>
      <c r="P118" s="291"/>
      <c r="Q118" s="284"/>
      <c r="R118" s="163">
        <v>2</v>
      </c>
      <c r="S118" s="183"/>
      <c r="T118" s="164" t="str">
        <f>IF(OR(U118="Preventivo",U118="Detectivo"),"Probabilidad",IF(U118="Correctivo","Impacto",""))</f>
        <v/>
      </c>
      <c r="U118" s="165"/>
      <c r="V118" s="165"/>
      <c r="W118" s="166" t="str">
        <f t="shared" ref="W118:W122" si="98">IF(AND(U118="Preventivo",V118="Automático"),"50%",IF(AND(U118="Preventivo",V118="Manual"),"40%",IF(AND(U118="Detectivo",V118="Automático"),"40%",IF(AND(U118="Detectivo",V118="Manual"),"30%",IF(AND(U118="Correctivo",V118="Automático"),"35%",IF(AND(U118="Correctivo",V118="Manual"),"25%",""))))))</f>
        <v/>
      </c>
      <c r="X118" s="165"/>
      <c r="Y118" s="165"/>
      <c r="Z118" s="165"/>
      <c r="AA118" s="167" t="str">
        <f>IFERROR(IF(AND(T117="Probabilidad",T118="Probabilidad"),(AC117-(+AC117*W118)),IF(T118="Probabilidad",(L117-(+L117*W118)),IF(T118="Impacto",AC117,""))),"")</f>
        <v/>
      </c>
      <c r="AB118" s="168" t="str">
        <f t="shared" si="87"/>
        <v/>
      </c>
      <c r="AC118" s="169" t="str">
        <f t="shared" ref="AC118:AC122" si="99">+AA118</f>
        <v/>
      </c>
      <c r="AD118" s="168" t="str">
        <f t="shared" si="89"/>
        <v/>
      </c>
      <c r="AE118" s="169" t="str">
        <f>IFERROR(IF(AND(T117="Impacto",T118="Impacto"),(AE117-(+AE117*W118)),IF(T118="Impacto",(P117-(+P117*W118)),IF(T118="Probabilidad",AE117,""))),"")</f>
        <v/>
      </c>
      <c r="AF118" s="170" t="str">
        <f t="shared" ref="AF118:AF119" si="100">IFERROR(IF(OR(AND(AB118="Muy Baja",AD118="Leve"),AND(AB118="Muy Baja",AD118="Menor"),AND(AB118="Baja",AD118="Leve")),"Bajo",IF(OR(AND(AB118="Muy baja",AD118="Moderado"),AND(AB118="Baja",AD118="Menor"),AND(AB118="Baja",AD118="Moderado"),AND(AB118="Media",AD118="Leve"),AND(AB118="Media",AD118="Menor"),AND(AB118="Media",AD118="Moderado"),AND(AB118="Alta",AD118="Leve"),AND(AB118="Alta",AD118="Menor")),"Moderado",IF(OR(AND(AB118="Muy Baja",AD118="Mayor"),AND(AB118="Baja",AD118="Mayor"),AND(AB118="Media",AD118="Mayor"),AND(AB118="Alta",AD118="Moderado"),AND(AB118="Alta",AD118="Mayor"),AND(AB118="Muy Alta",AD118="Leve"),AND(AB118="Muy Alta",AD118="Menor"),AND(AB118="Muy Alta",AD118="Moderado"),AND(AB118="Muy Alta",AD118="Mayor")),"Alto",IF(OR(AND(AB118="Muy Baja",AD118="Catastrófico"),AND(AB118="Baja",AD118="Catastrófico"),AND(AB118="Media",AD118="Catastrófico"),AND(AB118="Alta",AD118="Catastrófico"),AND(AB118="Muy Alta",AD118="Catastrófico")),"Extremo","")))),"")</f>
        <v/>
      </c>
      <c r="AG118" s="171"/>
      <c r="AH118" s="172"/>
      <c r="AI118" s="172"/>
      <c r="AJ118" s="172"/>
      <c r="AK118" s="172"/>
      <c r="AL118" s="172"/>
      <c r="AM118" s="165"/>
      <c r="AN118" s="173"/>
      <c r="AO118" s="173"/>
      <c r="AP118" s="172"/>
      <c r="AQ118" s="165"/>
    </row>
    <row r="119" spans="1:43" x14ac:dyDescent="0.3">
      <c r="A119" s="313"/>
      <c r="B119" s="293"/>
      <c r="C119" s="293"/>
      <c r="D119" s="293"/>
      <c r="E119" s="293"/>
      <c r="F119" s="152"/>
      <c r="G119" s="282"/>
      <c r="H119" s="153"/>
      <c r="I119" s="293"/>
      <c r="J119" s="295"/>
      <c r="K119" s="288"/>
      <c r="L119" s="291"/>
      <c r="M119" s="303"/>
      <c r="N119" s="317">
        <f>IF(NOT(ISERROR(MATCH(M119,_xlfn.ANCHORARRAY(H124),0))),L126&amp;"Por favor no seleccionar los criterios de impacto",M119)</f>
        <v>0</v>
      </c>
      <c r="O119" s="288"/>
      <c r="P119" s="291"/>
      <c r="Q119" s="284"/>
      <c r="R119" s="163">
        <v>3</v>
      </c>
      <c r="S119" s="174"/>
      <c r="T119" s="164" t="str">
        <f>IF(OR(U119="Preventivo",U119="Detectivo"),"Probabilidad",IF(U119="Correctivo","Impacto",""))</f>
        <v/>
      </c>
      <c r="U119" s="165"/>
      <c r="V119" s="165"/>
      <c r="W119" s="166" t="str">
        <f t="shared" si="98"/>
        <v/>
      </c>
      <c r="X119" s="165"/>
      <c r="Y119" s="165"/>
      <c r="Z119" s="165"/>
      <c r="AA119" s="167" t="str">
        <f>IFERROR(IF(AND(T118="Probabilidad",T119="Probabilidad"),(AC118-(+AC118*W119)),IF(AND(T118="Impacto",T119="Probabilidad"),(AC117-(+AC117*W119)),IF(T119="Impacto",AC118,""))),"")</f>
        <v/>
      </c>
      <c r="AB119" s="168" t="str">
        <f t="shared" si="87"/>
        <v/>
      </c>
      <c r="AC119" s="169" t="str">
        <f t="shared" si="99"/>
        <v/>
      </c>
      <c r="AD119" s="168" t="str">
        <f t="shared" si="89"/>
        <v/>
      </c>
      <c r="AE119" s="169" t="str">
        <f>IFERROR(IF(AND(T118="Impacto",T119="Impacto"),(AE118-(+AE118*W119)),IF(AND(T118="Probabilidad",T119="Impacto"),(AE117-(+AE117*W119)),IF(T119="Probabilidad",AE118,""))),"")</f>
        <v/>
      </c>
      <c r="AF119" s="170" t="str">
        <f t="shared" si="100"/>
        <v/>
      </c>
      <c r="AG119" s="171"/>
      <c r="AH119" s="172"/>
      <c r="AI119" s="172"/>
      <c r="AJ119" s="172"/>
      <c r="AK119" s="172"/>
      <c r="AL119" s="172"/>
      <c r="AM119" s="165"/>
      <c r="AN119" s="173"/>
      <c r="AO119" s="173"/>
      <c r="AP119" s="172"/>
      <c r="AQ119" s="165"/>
    </row>
    <row r="120" spans="1:43" x14ac:dyDescent="0.3">
      <c r="A120" s="313"/>
      <c r="B120" s="293"/>
      <c r="C120" s="293"/>
      <c r="D120" s="293"/>
      <c r="E120" s="293"/>
      <c r="F120" s="152"/>
      <c r="G120" s="282"/>
      <c r="H120" s="153"/>
      <c r="I120" s="293"/>
      <c r="J120" s="295"/>
      <c r="K120" s="288"/>
      <c r="L120" s="291"/>
      <c r="M120" s="303"/>
      <c r="N120" s="317">
        <f>IF(NOT(ISERROR(MATCH(M120,_xlfn.ANCHORARRAY(H125),0))),L127&amp;"Por favor no seleccionar los criterios de impacto",M120)</f>
        <v>0</v>
      </c>
      <c r="O120" s="288"/>
      <c r="P120" s="291"/>
      <c r="Q120" s="284"/>
      <c r="R120" s="163">
        <v>4</v>
      </c>
      <c r="S120" s="183"/>
      <c r="T120" s="164" t="str">
        <f t="shared" ref="T120:T122" si="101">IF(OR(U120="Preventivo",U120="Detectivo"),"Probabilidad",IF(U120="Correctivo","Impacto",""))</f>
        <v/>
      </c>
      <c r="U120" s="165"/>
      <c r="V120" s="165"/>
      <c r="W120" s="166" t="str">
        <f t="shared" si="98"/>
        <v/>
      </c>
      <c r="X120" s="165"/>
      <c r="Y120" s="165"/>
      <c r="Z120" s="165"/>
      <c r="AA120" s="167" t="str">
        <f>IFERROR(IF(AND(T119="Probabilidad",T120="Probabilidad"),(AC119-(+AC119*W120)),IF(AND(T119="Impacto",T120="Probabilidad"),(AC118-(+AC118*W120)),IF(T120="Impacto",AC119,""))),"")</f>
        <v/>
      </c>
      <c r="AB120" s="168" t="str">
        <f t="shared" si="87"/>
        <v/>
      </c>
      <c r="AC120" s="169" t="str">
        <f t="shared" si="99"/>
        <v/>
      </c>
      <c r="AD120" s="168" t="str">
        <f t="shared" si="89"/>
        <v/>
      </c>
      <c r="AE120" s="169" t="str">
        <f>IFERROR(IF(AND(T119="Impacto",T120="Impacto"),(AE119-(+AE119*W120)),IF(AND(T119="Probabilidad",T120="Impacto"),(AE118-(+AE118*W120)),IF(T120="Probabilidad",AE119,""))),"")</f>
        <v/>
      </c>
      <c r="AF120" s="170" t="str">
        <f>IFERROR(IF(OR(AND(AB120="Muy Baja",AD120="Leve"),AND(AB120="Muy Baja",AD120="Menor"),AND(AB120="Baja",AD120="Leve")),"Bajo",IF(OR(AND(AB120="Muy baja",AD120="Moderado"),AND(AB120="Baja",AD120="Menor"),AND(AB120="Baja",AD120="Moderado"),AND(AB120="Media",AD120="Leve"),AND(AB120="Media",AD120="Menor"),AND(AB120="Media",AD120="Moderado"),AND(AB120="Alta",AD120="Leve"),AND(AB120="Alta",AD120="Menor")),"Moderado",IF(OR(AND(AB120="Muy Baja",AD120="Mayor"),AND(AB120="Baja",AD120="Mayor"),AND(AB120="Media",AD120="Mayor"),AND(AB120="Alta",AD120="Moderado"),AND(AB120="Alta",AD120="Mayor"),AND(AB120="Muy Alta",AD120="Leve"),AND(AB120="Muy Alta",AD120="Menor"),AND(AB120="Muy Alta",AD120="Moderado"),AND(AB120="Muy Alta",AD120="Mayor")),"Alto",IF(OR(AND(AB120="Muy Baja",AD120="Catastrófico"),AND(AB120="Baja",AD120="Catastrófico"),AND(AB120="Media",AD120="Catastrófico"),AND(AB120="Alta",AD120="Catastrófico"),AND(AB120="Muy Alta",AD120="Catastrófico")),"Extremo","")))),"")</f>
        <v/>
      </c>
      <c r="AG120" s="171"/>
      <c r="AH120" s="172"/>
      <c r="AI120" s="172"/>
      <c r="AJ120" s="172"/>
      <c r="AK120" s="172"/>
      <c r="AL120" s="172"/>
      <c r="AM120" s="165"/>
      <c r="AN120" s="173"/>
      <c r="AO120" s="173"/>
      <c r="AP120" s="172"/>
      <c r="AQ120" s="165"/>
    </row>
    <row r="121" spans="1:43" x14ac:dyDescent="0.3">
      <c r="A121" s="313"/>
      <c r="B121" s="293"/>
      <c r="C121" s="293"/>
      <c r="D121" s="293"/>
      <c r="E121" s="293"/>
      <c r="F121" s="152"/>
      <c r="G121" s="282"/>
      <c r="H121" s="153"/>
      <c r="I121" s="293"/>
      <c r="J121" s="295"/>
      <c r="K121" s="288"/>
      <c r="L121" s="291"/>
      <c r="M121" s="303"/>
      <c r="N121" s="317">
        <f>IF(NOT(ISERROR(MATCH(M121,_xlfn.ANCHORARRAY(H126),0))),L128&amp;"Por favor no seleccionar los criterios de impacto",M121)</f>
        <v>0</v>
      </c>
      <c r="O121" s="288"/>
      <c r="P121" s="291"/>
      <c r="Q121" s="284"/>
      <c r="R121" s="163">
        <v>5</v>
      </c>
      <c r="S121" s="183"/>
      <c r="T121" s="164" t="str">
        <f t="shared" si="101"/>
        <v/>
      </c>
      <c r="U121" s="165"/>
      <c r="V121" s="165"/>
      <c r="W121" s="166" t="str">
        <f t="shared" si="98"/>
        <v/>
      </c>
      <c r="X121" s="165"/>
      <c r="Y121" s="165"/>
      <c r="Z121" s="165"/>
      <c r="AA121" s="167" t="str">
        <f>IFERROR(IF(AND(T120="Probabilidad",T121="Probabilidad"),(AC120-(+AC120*W121)),IF(AND(T120="Impacto",T121="Probabilidad"),(AC119-(+AC119*W121)),IF(T121="Impacto",AC120,""))),"")</f>
        <v/>
      </c>
      <c r="AB121" s="168" t="str">
        <f t="shared" si="87"/>
        <v/>
      </c>
      <c r="AC121" s="169" t="str">
        <f t="shared" si="99"/>
        <v/>
      </c>
      <c r="AD121" s="168" t="str">
        <f t="shared" si="89"/>
        <v/>
      </c>
      <c r="AE121" s="169" t="str">
        <f>IFERROR(IF(AND(T120="Impacto",T121="Impacto"),(AE120-(+AE120*W121)),IF(AND(T120="Probabilidad",T121="Impacto"),(AE119-(+AE119*W121)),IF(T121="Probabilidad",AE120,""))),"")</f>
        <v/>
      </c>
      <c r="AF121" s="170" t="str">
        <f t="shared" ref="AF121" si="102">IFERROR(IF(OR(AND(AB121="Muy Baja",AD121="Leve"),AND(AB121="Muy Baja",AD121="Menor"),AND(AB121="Baja",AD121="Leve")),"Bajo",IF(OR(AND(AB121="Muy baja",AD121="Moderado"),AND(AB121="Baja",AD121="Menor"),AND(AB121="Baja",AD121="Moderado"),AND(AB121="Media",AD121="Leve"),AND(AB121="Media",AD121="Menor"),AND(AB121="Media",AD121="Moderado"),AND(AB121="Alta",AD121="Leve"),AND(AB121="Alta",AD121="Menor")),"Moderado",IF(OR(AND(AB121="Muy Baja",AD121="Mayor"),AND(AB121="Baja",AD121="Mayor"),AND(AB121="Media",AD121="Mayor"),AND(AB121="Alta",AD121="Moderado"),AND(AB121="Alta",AD121="Mayor"),AND(AB121="Muy Alta",AD121="Leve"),AND(AB121="Muy Alta",AD121="Menor"),AND(AB121="Muy Alta",AD121="Moderado"),AND(AB121="Muy Alta",AD121="Mayor")),"Alto",IF(OR(AND(AB121="Muy Baja",AD121="Catastrófico"),AND(AB121="Baja",AD121="Catastrófico"),AND(AB121="Media",AD121="Catastrófico"),AND(AB121="Alta",AD121="Catastrófico"),AND(AB121="Muy Alta",AD121="Catastrófico")),"Extremo","")))),"")</f>
        <v/>
      </c>
      <c r="AG121" s="171"/>
      <c r="AH121" s="172"/>
      <c r="AI121" s="172"/>
      <c r="AJ121" s="172"/>
      <c r="AK121" s="172"/>
      <c r="AL121" s="172"/>
      <c r="AM121" s="165"/>
      <c r="AN121" s="173"/>
      <c r="AO121" s="173"/>
      <c r="AP121" s="172"/>
      <c r="AQ121" s="165"/>
    </row>
    <row r="122" spans="1:43" x14ac:dyDescent="0.3">
      <c r="A122" s="314"/>
      <c r="B122" s="294"/>
      <c r="C122" s="294"/>
      <c r="D122" s="294"/>
      <c r="E122" s="294"/>
      <c r="F122" s="162"/>
      <c r="G122" s="298"/>
      <c r="H122" s="175"/>
      <c r="I122" s="294"/>
      <c r="J122" s="296"/>
      <c r="K122" s="289"/>
      <c r="L122" s="292"/>
      <c r="M122" s="304"/>
      <c r="N122" s="318">
        <f>IF(NOT(ISERROR(MATCH(M122,_xlfn.ANCHORARRAY(H127),0))),L129&amp;"Por favor no seleccionar los criterios de impacto",M122)</f>
        <v>0</v>
      </c>
      <c r="O122" s="289"/>
      <c r="P122" s="292"/>
      <c r="Q122" s="285"/>
      <c r="R122" s="163">
        <v>6</v>
      </c>
      <c r="S122" s="183"/>
      <c r="T122" s="164" t="str">
        <f t="shared" si="101"/>
        <v/>
      </c>
      <c r="U122" s="178"/>
      <c r="V122" s="178"/>
      <c r="W122" s="166" t="str">
        <f t="shared" si="98"/>
        <v/>
      </c>
      <c r="X122" s="178"/>
      <c r="Y122" s="178"/>
      <c r="Z122" s="178"/>
      <c r="AA122" s="167" t="str">
        <f>IFERROR(IF(AND(T121="Probabilidad",T122="Probabilidad"),(AC121-(+AC121*W122)),IF(AND(T121="Impacto",T122="Probabilidad"),(AC120-(+AC120*W122)),IF(T122="Impacto",AC121,""))),"")</f>
        <v/>
      </c>
      <c r="AB122" s="168" t="str">
        <f t="shared" si="87"/>
        <v/>
      </c>
      <c r="AC122" s="169" t="str">
        <f t="shared" si="99"/>
        <v/>
      </c>
      <c r="AD122" s="168" t="str">
        <f>IFERROR(IF(AE122="","",IF(AE122&lt;=0.2,"Leve",IF(AE122&lt;=0.4,"Menor",IF(AE122&lt;=0.6,"Moderado",IF(AE122&lt;=0.8,"Mayor","Catastrófico"))))),"")</f>
        <v/>
      </c>
      <c r="AE122" s="169" t="str">
        <f>IFERROR(IF(AND(T121="Impacto",T122="Impacto"),(AE121-(+AE121*W122)),IF(AND(T121="Probabilidad",T122="Impacto"),(AE120-(+AE120*W122)),IF(T122="Probabilidad",AE121,""))),"")</f>
        <v/>
      </c>
      <c r="AF122" s="170" t="str">
        <f>IFERROR(IF(OR(AND(AB122="Muy Baja",AD122="Leve"),AND(AB122="Muy Baja",AD122="Menor"),AND(AB122="Baja",AD122="Leve")),"Bajo",IF(OR(AND(AB122="Muy baja",AD122="Moderado"),AND(AB122="Baja",AD122="Menor"),AND(AB122="Baja",AD122="Moderado"),AND(AB122="Media",AD122="Leve"),AND(AB122="Media",AD122="Menor"),AND(AB122="Media",AD122="Moderado"),AND(AB122="Alta",AD122="Leve"),AND(AB122="Alta",AD122="Menor")),"Moderado",IF(OR(AND(AB122="Muy Baja",AD122="Mayor"),AND(AB122="Baja",AD122="Mayor"),AND(AB122="Media",AD122="Mayor"),AND(AB122="Alta",AD122="Moderado"),AND(AB122="Alta",AD122="Mayor"),AND(AB122="Muy Alta",AD122="Leve"),AND(AB122="Muy Alta",AD122="Menor"),AND(AB122="Muy Alta",AD122="Moderado"),AND(AB122="Muy Alta",AD122="Mayor")),"Alto",IF(OR(AND(AB122="Muy Baja",AD122="Catastrófico"),AND(AB122="Baja",AD122="Catastrófico"),AND(AB122="Media",AD122="Catastrófico"),AND(AB122="Alta",AD122="Catastrófico"),AND(AB122="Muy Alta",AD122="Catastrófico")),"Extremo","")))),"")</f>
        <v/>
      </c>
      <c r="AG122" s="171"/>
      <c r="AH122" s="172"/>
      <c r="AI122" s="172"/>
      <c r="AJ122" s="172"/>
      <c r="AK122" s="172"/>
      <c r="AL122" s="172"/>
      <c r="AM122" s="165"/>
      <c r="AN122" s="173"/>
      <c r="AO122" s="173"/>
      <c r="AP122" s="172"/>
      <c r="AQ122" s="165"/>
    </row>
    <row r="123" spans="1:43" ht="42.75" x14ac:dyDescent="0.3">
      <c r="A123" s="312">
        <v>4</v>
      </c>
      <c r="B123" s="311" t="s">
        <v>127</v>
      </c>
      <c r="C123" s="311" t="s">
        <v>240</v>
      </c>
      <c r="D123" s="311" t="s">
        <v>248</v>
      </c>
      <c r="E123" s="311" t="s">
        <v>261</v>
      </c>
      <c r="F123" s="185" t="s">
        <v>467</v>
      </c>
      <c r="G123" s="281" t="s">
        <v>468</v>
      </c>
      <c r="H123" s="177" t="s">
        <v>469</v>
      </c>
      <c r="I123" s="311" t="s">
        <v>120</v>
      </c>
      <c r="J123" s="308">
        <v>20</v>
      </c>
      <c r="K123" s="287" t="str">
        <f>IF(J123&lt;=0,"",IF(J123&lt;=2,"Muy Baja",IF(J123&lt;=24,"Baja",IF(J123&lt;=500,"Media",IF(J123&lt;=5000,"Alta","Muy Alta")))))</f>
        <v>Baja</v>
      </c>
      <c r="L123" s="290">
        <f>IF(K123="","",IF(K123="Muy Baja",0.2,IF(K123="Baja",0.4,IF(K123="Media",0.6,IF(K123="Alta",0.8,IF(K123="Muy Alta",1,))))))</f>
        <v>0.4</v>
      </c>
      <c r="M123" s="305" t="s">
        <v>149</v>
      </c>
      <c r="N123" s="290" t="str">
        <f>IF(NOT(ISERROR(MATCH(M123,'[3]Tabla Impacto'!$B$221:$B$223,0))),'[3]Tabla Impacto'!$F$223&amp;"Por favor no seleccionar los criterios de impacto(Afectación Económica o presupuestal y Pérdida Reputacional)",M123)</f>
        <v xml:space="preserve">     El riesgo afecta la imagen de de la entidad con efecto publicitario sostenido a nivel de sector administrativo, nivel departamental o municipal</v>
      </c>
      <c r="O123" s="287" t="str">
        <f>IF(OR(N123='[3]Tabla Impacto'!$C$11,N123='[3]Tabla Impacto'!$D$11),"Leve",IF(OR(N123='[3]Tabla Impacto'!$C$12,N123='[3]Tabla Impacto'!$D$12),"Menor",IF(OR(N123='[3]Tabla Impacto'!$C$13,N123='[3]Tabla Impacto'!$D$13),"Moderado",IF(OR(N123='[3]Tabla Impacto'!$C$14,N123='[3]Tabla Impacto'!$D$14),"Mayor",IF(OR(N123='[3]Tabla Impacto'!$C$15,N123='[3]Tabla Impacto'!$D$15),"Catastrófico","")))))</f>
        <v>Mayor</v>
      </c>
      <c r="P123" s="290">
        <f>IF(O123="","",IF(O123="Leve",0.2,IF(O123="Menor",0.4,IF(O123="Moderado",0.6,IF(O123="Mayor",0.8,IF(O123="Catastrófico",1,))))))</f>
        <v>0.8</v>
      </c>
      <c r="Q123" s="283" t="str">
        <f>IF(OR(AND(K123="Muy Baja",O123="Leve"),AND(K123="Muy Baja",O123="Menor"),AND(K123="Baja",O123="Leve")),"Bajo",IF(OR(AND(K123="Muy baja",O123="Moderado"),AND(K123="Baja",O123="Menor"),AND(K123="Baja",O123="Moderado"),AND(K123="Media",O123="Leve"),AND(K123="Media",O123="Menor"),AND(K123="Media",O123="Moderado"),AND(K123="Alta",O123="Leve"),AND(K123="Alta",O123="Menor")),"Moderado",IF(OR(AND(K123="Muy Baja",O123="Mayor"),AND(K123="Baja",O123="Mayor"),AND(K123="Media",O123="Mayor"),AND(K123="Alta",O123="Moderado"),AND(K123="Alta",O123="Mayor"),AND(K123="Muy Alta",O123="Leve"),AND(K123="Muy Alta",O123="Menor"),AND(K123="Muy Alta",O123="Moderado"),AND(K123="Muy Alta",O123="Mayor")),"Alto",IF(OR(AND(K123="Muy Baja",O123="Catastrófico"),AND(K123="Baja",O123="Catastrófico"),AND(K123="Media",O123="Catastrófico"),AND(K123="Alta",O123="Catastrófico"),AND(K123="Muy Alta",O123="Catastrófico")),"Extremo",""))))</f>
        <v>Alto</v>
      </c>
      <c r="R123" s="163">
        <v>1</v>
      </c>
      <c r="S123" s="183" t="s">
        <v>470</v>
      </c>
      <c r="T123" s="164" t="str">
        <f>IF(OR(U123="Preventivo",U123="Detectivo"),"Probabilidad",IF(U123="Correctivo","Impacto",""))</f>
        <v>Probabilidad</v>
      </c>
      <c r="U123" s="172" t="s">
        <v>13</v>
      </c>
      <c r="V123" s="172" t="s">
        <v>8</v>
      </c>
      <c r="W123" s="166" t="str">
        <f>IF(AND(U123="Preventivo",V123="Automático"),"50%",IF(AND(U123="Preventivo",V123="Manual"),"40%",IF(AND(U123="Detectivo",V123="Automático"),"40%",IF(AND(U123="Detectivo",V123="Manual"),"30%",IF(AND(U123="Correctivo",V123="Automático"),"35%",IF(AND(U123="Correctivo",V123="Manual"),"25%",""))))))</f>
        <v>40%</v>
      </c>
      <c r="X123" s="165" t="s">
        <v>18</v>
      </c>
      <c r="Y123" s="165" t="s">
        <v>21</v>
      </c>
      <c r="Z123" s="165" t="s">
        <v>116</v>
      </c>
      <c r="AA123" s="167">
        <f>IFERROR(IF(T123="Probabilidad",(L123-(+L123*W123)),IF(T123="Impacto",L123,"")),"")</f>
        <v>0.24</v>
      </c>
      <c r="AB123" s="168" t="str">
        <f>IFERROR(IF(AA123="","",IF(AA123&lt;=0.2,"Muy Baja",IF(AA123&lt;=0.4,"Baja",IF(AA123&lt;=0.6,"Media",IF(AA123&lt;=0.8,"Alta","Muy Alta"))))),"")</f>
        <v>Baja</v>
      </c>
      <c r="AC123" s="169">
        <f>+AA123</f>
        <v>0.24</v>
      </c>
      <c r="AD123" s="168" t="str">
        <f>IFERROR(IF(AE123="","",IF(AE123&lt;=0.2,"Leve",IF(AE123&lt;=0.4,"Menor",IF(AE123&lt;=0.6,"Moderado",IF(AE123&lt;=0.8,"Mayor","Catastrófico"))))),"")</f>
        <v>Mayor</v>
      </c>
      <c r="AE123" s="169">
        <f>IFERROR(IF(T123="Impacto",(P123-(+P123*W123)),IF(T123="Probabilidad",P123,"")),"")</f>
        <v>0.8</v>
      </c>
      <c r="AF123" s="170" t="str">
        <f>IFERROR(IF(OR(AND(AB123="Muy Baja",AD123="Leve"),AND(AB123="Muy Baja",AD123="Menor"),AND(AB123="Baja",AD123="Leve")),"Bajo",IF(OR(AND(AB123="Muy baja",AD123="Moderado"),AND(AB123="Baja",AD123="Menor"),AND(AB123="Baja",AD123="Moderado"),AND(AB123="Media",AD123="Leve"),AND(AB123="Media",AD123="Menor"),AND(AB123="Media",AD123="Moderado"),AND(AB123="Alta",AD123="Leve"),AND(AB123="Alta",AD123="Menor")),"Moderado",IF(OR(AND(AB123="Muy Baja",AD123="Mayor"),AND(AB123="Baja",AD123="Mayor"),AND(AB123="Media",AD123="Mayor"),AND(AB123="Alta",AD123="Moderado"),AND(AB123="Alta",AD123="Mayor"),AND(AB123="Muy Alta",AD123="Leve"),AND(AB123="Muy Alta",AD123="Menor"),AND(AB123="Muy Alta",AD123="Moderado"),AND(AB123="Muy Alta",AD123="Mayor")),"Alto",IF(OR(AND(AB123="Muy Baja",AD123="Catastrófico"),AND(AB123="Baja",AD123="Catastrófico"),AND(AB123="Media",AD123="Catastrófico"),AND(AB123="Alta",AD123="Catastrófico"),AND(AB123="Muy Alta",AD123="Catastrófico")),"Extremo","")))),"")</f>
        <v>Alto</v>
      </c>
      <c r="AG123" s="171" t="s">
        <v>131</v>
      </c>
      <c r="AH123" s="172" t="s">
        <v>471</v>
      </c>
      <c r="AI123" s="172" t="s">
        <v>306</v>
      </c>
      <c r="AJ123" s="172" t="s">
        <v>307</v>
      </c>
      <c r="AK123" s="172" t="s">
        <v>455</v>
      </c>
      <c r="AL123" s="172" t="s">
        <v>455</v>
      </c>
      <c r="AM123" s="172" t="s">
        <v>455</v>
      </c>
      <c r="AN123" s="172" t="s">
        <v>455</v>
      </c>
      <c r="AO123" s="172" t="s">
        <v>455</v>
      </c>
      <c r="AP123" s="172" t="s">
        <v>455</v>
      </c>
      <c r="AQ123" s="165" t="s">
        <v>39</v>
      </c>
    </row>
    <row r="124" spans="1:43" x14ac:dyDescent="0.3">
      <c r="A124" s="313"/>
      <c r="B124" s="293"/>
      <c r="C124" s="293"/>
      <c r="D124" s="293"/>
      <c r="E124" s="293"/>
      <c r="F124" s="184" t="s">
        <v>472</v>
      </c>
      <c r="G124" s="282"/>
      <c r="H124" s="153"/>
      <c r="I124" s="293"/>
      <c r="J124" s="295"/>
      <c r="K124" s="288"/>
      <c r="L124" s="291"/>
      <c r="M124" s="303"/>
      <c r="N124" s="291">
        <f>IF(NOT(ISERROR(MATCH(M124,_xlfn.ANCHORARRAY(H171),0))),L173&amp;"Por favor no seleccionar los criterios de impacto",M124)</f>
        <v>0</v>
      </c>
      <c r="O124" s="288"/>
      <c r="P124" s="291"/>
      <c r="Q124" s="284"/>
      <c r="R124" s="163">
        <v>2</v>
      </c>
      <c r="S124" s="183"/>
      <c r="T124" s="164" t="str">
        <f>IF(OR(U124="Preventivo",U124="Detectivo"),"Probabilidad",IF(U124="Correctivo","Impacto",""))</f>
        <v/>
      </c>
      <c r="U124" s="178"/>
      <c r="V124" s="178"/>
      <c r="W124" s="166" t="str">
        <f t="shared" ref="W124:W128" si="103">IF(AND(U124="Preventivo",V124="Automático"),"50%",IF(AND(U124="Preventivo",V124="Manual"),"40%",IF(AND(U124="Detectivo",V124="Automático"),"40%",IF(AND(U124="Detectivo",V124="Manual"),"30%",IF(AND(U124="Correctivo",V124="Automático"),"35%",IF(AND(U124="Correctivo",V124="Manual"),"25%",""))))))</f>
        <v/>
      </c>
      <c r="X124" s="178"/>
      <c r="Y124" s="178"/>
      <c r="Z124" s="178"/>
      <c r="AA124" s="167" t="str">
        <f>IFERROR(IF(AND(T123="Probabilidad",T124="Probabilidad"),(AC123-(+AC123*W124)),IF(T124="Probabilidad",(L123-(+L123*W124)),IF(T124="Impacto",AC123,""))),"")</f>
        <v/>
      </c>
      <c r="AB124" s="168" t="str">
        <f t="shared" si="87"/>
        <v/>
      </c>
      <c r="AC124" s="169" t="str">
        <f t="shared" ref="AC124:AC128" si="104">+AA124</f>
        <v/>
      </c>
      <c r="AD124" s="168" t="str">
        <f t="shared" si="89"/>
        <v/>
      </c>
      <c r="AE124" s="169" t="str">
        <f>IFERROR(IF(AND(T123="Impacto",T124="Impacto"),(AE123-(+AE123*W124)),IF(T124="Impacto",(P123-(+P123*W124)),IF(T124="Probabilidad",AE123,""))),"")</f>
        <v/>
      </c>
      <c r="AF124" s="170" t="str">
        <f t="shared" ref="AF124:AF125" si="105">IFERROR(IF(OR(AND(AB124="Muy Baja",AD124="Leve"),AND(AB124="Muy Baja",AD124="Menor"),AND(AB124="Baja",AD124="Leve")),"Bajo",IF(OR(AND(AB124="Muy baja",AD124="Moderado"),AND(AB124="Baja",AD124="Menor"),AND(AB124="Baja",AD124="Moderado"),AND(AB124="Media",AD124="Leve"),AND(AB124="Media",AD124="Menor"),AND(AB124="Media",AD124="Moderado"),AND(AB124="Alta",AD124="Leve"),AND(AB124="Alta",AD124="Menor")),"Moderado",IF(OR(AND(AB124="Muy Baja",AD124="Mayor"),AND(AB124="Baja",AD124="Mayor"),AND(AB124="Media",AD124="Mayor"),AND(AB124="Alta",AD124="Moderado"),AND(AB124="Alta",AD124="Mayor"),AND(AB124="Muy Alta",AD124="Leve"),AND(AB124="Muy Alta",AD124="Menor"),AND(AB124="Muy Alta",AD124="Moderado"),AND(AB124="Muy Alta",AD124="Mayor")),"Alto",IF(OR(AND(AB124="Muy Baja",AD124="Catastrófico"),AND(AB124="Baja",AD124="Catastrófico"),AND(AB124="Media",AD124="Catastrófico"),AND(AB124="Alta",AD124="Catastrófico"),AND(AB124="Muy Alta",AD124="Catastrófico")),"Extremo","")))),"")</f>
        <v/>
      </c>
      <c r="AG124" s="171"/>
      <c r="AH124" s="172"/>
      <c r="AI124" s="172"/>
      <c r="AJ124" s="172"/>
      <c r="AK124" s="172"/>
      <c r="AL124" s="172"/>
      <c r="AM124" s="165"/>
      <c r="AN124" s="173"/>
      <c r="AO124" s="173"/>
      <c r="AP124" s="172"/>
      <c r="AQ124" s="165"/>
    </row>
    <row r="125" spans="1:43" x14ac:dyDescent="0.3">
      <c r="A125" s="313"/>
      <c r="B125" s="293"/>
      <c r="C125" s="293"/>
      <c r="D125" s="293"/>
      <c r="E125" s="293"/>
      <c r="F125" s="152"/>
      <c r="G125" s="282"/>
      <c r="H125" s="153"/>
      <c r="I125" s="293"/>
      <c r="J125" s="295"/>
      <c r="K125" s="288"/>
      <c r="L125" s="291"/>
      <c r="M125" s="303"/>
      <c r="N125" s="291">
        <f>IF(NOT(ISERROR(MATCH(M125,_xlfn.ANCHORARRAY(H172),0))),L174&amp;"Por favor no seleccionar los criterios de impacto",M125)</f>
        <v>0</v>
      </c>
      <c r="O125" s="288"/>
      <c r="P125" s="291"/>
      <c r="Q125" s="284"/>
      <c r="R125" s="163">
        <v>3</v>
      </c>
      <c r="S125" s="174"/>
      <c r="T125" s="164" t="str">
        <f>IF(OR(U125="Preventivo",U125="Detectivo"),"Probabilidad",IF(U125="Correctivo","Impacto",""))</f>
        <v/>
      </c>
      <c r="U125" s="178"/>
      <c r="V125" s="178"/>
      <c r="W125" s="166" t="str">
        <f t="shared" si="103"/>
        <v/>
      </c>
      <c r="X125" s="178"/>
      <c r="Y125" s="178"/>
      <c r="Z125" s="178"/>
      <c r="AA125" s="167" t="str">
        <f>IFERROR(IF(AND(T124="Probabilidad",T125="Probabilidad"),(AC124-(+AC124*W125)),IF(AND(T124="Impacto",T125="Probabilidad"),(AC123-(+AC123*W125)),IF(T125="Impacto",AC124,""))),"")</f>
        <v/>
      </c>
      <c r="AB125" s="168" t="str">
        <f t="shared" si="87"/>
        <v/>
      </c>
      <c r="AC125" s="169" t="str">
        <f t="shared" si="104"/>
        <v/>
      </c>
      <c r="AD125" s="168" t="str">
        <f t="shared" si="89"/>
        <v/>
      </c>
      <c r="AE125" s="169" t="str">
        <f>IFERROR(IF(AND(T124="Impacto",T125="Impacto"),(AE124-(+AE124*W125)),IF(AND(T124="Probabilidad",T125="Impacto"),(AE123-(+AE123*W125)),IF(T125="Probabilidad",AE124,""))),"")</f>
        <v/>
      </c>
      <c r="AF125" s="170" t="str">
        <f t="shared" si="105"/>
        <v/>
      </c>
      <c r="AG125" s="171"/>
      <c r="AH125" s="172"/>
      <c r="AI125" s="172"/>
      <c r="AJ125" s="172"/>
      <c r="AK125" s="172"/>
      <c r="AL125" s="172"/>
      <c r="AM125" s="165"/>
      <c r="AN125" s="173"/>
      <c r="AO125" s="173"/>
      <c r="AP125" s="172"/>
      <c r="AQ125" s="165"/>
    </row>
    <row r="126" spans="1:43" x14ac:dyDescent="0.3">
      <c r="A126" s="313"/>
      <c r="B126" s="293"/>
      <c r="C126" s="293"/>
      <c r="D126" s="293"/>
      <c r="E126" s="293"/>
      <c r="F126" s="152"/>
      <c r="G126" s="282"/>
      <c r="H126" s="153"/>
      <c r="I126" s="293"/>
      <c r="J126" s="295"/>
      <c r="K126" s="288"/>
      <c r="L126" s="291"/>
      <c r="M126" s="303"/>
      <c r="N126" s="291">
        <f>IF(NOT(ISERROR(MATCH(M126,_xlfn.ANCHORARRAY(H173),0))),L175&amp;"Por favor no seleccionar los criterios de impacto",M126)</f>
        <v>0</v>
      </c>
      <c r="O126" s="288"/>
      <c r="P126" s="291"/>
      <c r="Q126" s="284"/>
      <c r="R126" s="163">
        <v>4</v>
      </c>
      <c r="S126" s="183"/>
      <c r="T126" s="164" t="str">
        <f t="shared" ref="T126:T128" si="106">IF(OR(U126="Preventivo",U126="Detectivo"),"Probabilidad",IF(U126="Correctivo","Impacto",""))</f>
        <v/>
      </c>
      <c r="U126" s="178"/>
      <c r="V126" s="178"/>
      <c r="W126" s="166" t="str">
        <f t="shared" si="103"/>
        <v/>
      </c>
      <c r="X126" s="178"/>
      <c r="Y126" s="178"/>
      <c r="Z126" s="178"/>
      <c r="AA126" s="167" t="str">
        <f>IFERROR(IF(AND(T125="Probabilidad",T126="Probabilidad"),(AC125-(+AC125*W126)),IF(AND(T125="Impacto",T126="Probabilidad"),(AC124-(+AC124*W126)),IF(T126="Impacto",AC125,""))),"")</f>
        <v/>
      </c>
      <c r="AB126" s="168" t="str">
        <f t="shared" si="87"/>
        <v/>
      </c>
      <c r="AC126" s="169" t="str">
        <f t="shared" si="104"/>
        <v/>
      </c>
      <c r="AD126" s="168" t="str">
        <f t="shared" si="89"/>
        <v/>
      </c>
      <c r="AE126" s="169" t="str">
        <f>IFERROR(IF(AND(T125="Impacto",T126="Impacto"),(AE125-(+AE125*W126)),IF(AND(T125="Probabilidad",T126="Impacto"),(AE124-(+AE124*W126)),IF(T126="Probabilidad",AE125,""))),"")</f>
        <v/>
      </c>
      <c r="AF126" s="170" t="str">
        <f>IFERROR(IF(OR(AND(AB126="Muy Baja",AD126="Leve"),AND(AB126="Muy Baja",AD126="Menor"),AND(AB126="Baja",AD126="Leve")),"Bajo",IF(OR(AND(AB126="Muy baja",AD126="Moderado"),AND(AB126="Baja",AD126="Menor"),AND(AB126="Baja",AD126="Moderado"),AND(AB126="Media",AD126="Leve"),AND(AB126="Media",AD126="Menor"),AND(AB126="Media",AD126="Moderado"),AND(AB126="Alta",AD126="Leve"),AND(AB126="Alta",AD126="Menor")),"Moderado",IF(OR(AND(AB126="Muy Baja",AD126="Mayor"),AND(AB126="Baja",AD126="Mayor"),AND(AB126="Media",AD126="Mayor"),AND(AB126="Alta",AD126="Moderado"),AND(AB126="Alta",AD126="Mayor"),AND(AB126="Muy Alta",AD126="Leve"),AND(AB126="Muy Alta",AD126="Menor"),AND(AB126="Muy Alta",AD126="Moderado"),AND(AB126="Muy Alta",AD126="Mayor")),"Alto",IF(OR(AND(AB126="Muy Baja",AD126="Catastrófico"),AND(AB126="Baja",AD126="Catastrófico"),AND(AB126="Media",AD126="Catastrófico"),AND(AB126="Alta",AD126="Catastrófico"),AND(AB126="Muy Alta",AD126="Catastrófico")),"Extremo","")))),"")</f>
        <v/>
      </c>
      <c r="AG126" s="171"/>
      <c r="AH126" s="172"/>
      <c r="AI126" s="172"/>
      <c r="AJ126" s="172"/>
      <c r="AK126" s="172"/>
      <c r="AL126" s="172"/>
      <c r="AM126" s="165"/>
      <c r="AN126" s="173"/>
      <c r="AO126" s="173"/>
      <c r="AP126" s="172"/>
      <c r="AQ126" s="165"/>
    </row>
    <row r="127" spans="1:43" x14ac:dyDescent="0.3">
      <c r="A127" s="313"/>
      <c r="B127" s="293"/>
      <c r="C127" s="293"/>
      <c r="D127" s="293"/>
      <c r="E127" s="293"/>
      <c r="F127" s="152"/>
      <c r="G127" s="282"/>
      <c r="H127" s="153"/>
      <c r="I127" s="293"/>
      <c r="J127" s="295"/>
      <c r="K127" s="288"/>
      <c r="L127" s="291"/>
      <c r="M127" s="303"/>
      <c r="N127" s="291">
        <f>IF(NOT(ISERROR(MATCH(M127,_xlfn.ANCHORARRAY(H174),0))),L176&amp;"Por favor no seleccionar los criterios de impacto",M127)</f>
        <v>0</v>
      </c>
      <c r="O127" s="288"/>
      <c r="P127" s="291"/>
      <c r="Q127" s="284"/>
      <c r="R127" s="163">
        <v>5</v>
      </c>
      <c r="S127" s="183"/>
      <c r="T127" s="164" t="str">
        <f t="shared" si="106"/>
        <v/>
      </c>
      <c r="U127" s="178"/>
      <c r="V127" s="178"/>
      <c r="W127" s="166" t="str">
        <f t="shared" si="103"/>
        <v/>
      </c>
      <c r="X127" s="178"/>
      <c r="Y127" s="178"/>
      <c r="Z127" s="178"/>
      <c r="AA127" s="167" t="str">
        <f>IFERROR(IF(AND(T126="Probabilidad",T127="Probabilidad"),(AC126-(+AC126*W127)),IF(AND(T126="Impacto",T127="Probabilidad"),(AC125-(+AC125*W127)),IF(T127="Impacto",AC126,""))),"")</f>
        <v/>
      </c>
      <c r="AB127" s="168" t="str">
        <f t="shared" si="87"/>
        <v/>
      </c>
      <c r="AC127" s="169" t="str">
        <f t="shared" si="104"/>
        <v/>
      </c>
      <c r="AD127" s="168" t="str">
        <f t="shared" si="89"/>
        <v/>
      </c>
      <c r="AE127" s="169" t="str">
        <f>IFERROR(IF(AND(T126="Impacto",T127="Impacto"),(AE126-(+AE126*W127)),IF(AND(T126="Probabilidad",T127="Impacto"),(AE125-(+AE125*W127)),IF(T127="Probabilidad",AE126,""))),"")</f>
        <v/>
      </c>
      <c r="AF127" s="170" t="str">
        <f t="shared" ref="AF127:AF128" si="107">IFERROR(IF(OR(AND(AB127="Muy Baja",AD127="Leve"),AND(AB127="Muy Baja",AD127="Menor"),AND(AB127="Baja",AD127="Leve")),"Bajo",IF(OR(AND(AB127="Muy baja",AD127="Moderado"),AND(AB127="Baja",AD127="Menor"),AND(AB127="Baja",AD127="Moderado"),AND(AB127="Media",AD127="Leve"),AND(AB127="Media",AD127="Menor"),AND(AB127="Media",AD127="Moderado"),AND(AB127="Alta",AD127="Leve"),AND(AB127="Alta",AD127="Menor")),"Moderado",IF(OR(AND(AB127="Muy Baja",AD127="Mayor"),AND(AB127="Baja",AD127="Mayor"),AND(AB127="Media",AD127="Mayor"),AND(AB127="Alta",AD127="Moderado"),AND(AB127="Alta",AD127="Mayor"),AND(AB127="Muy Alta",AD127="Leve"),AND(AB127="Muy Alta",AD127="Menor"),AND(AB127="Muy Alta",AD127="Moderado"),AND(AB127="Muy Alta",AD127="Mayor")),"Alto",IF(OR(AND(AB127="Muy Baja",AD127="Catastrófico"),AND(AB127="Baja",AD127="Catastrófico"),AND(AB127="Media",AD127="Catastrófico"),AND(AB127="Alta",AD127="Catastrófico"),AND(AB127="Muy Alta",AD127="Catastrófico")),"Extremo","")))),"")</f>
        <v/>
      </c>
      <c r="AG127" s="171"/>
      <c r="AH127" s="172"/>
      <c r="AI127" s="172"/>
      <c r="AJ127" s="172"/>
      <c r="AK127" s="172"/>
      <c r="AL127" s="172"/>
      <c r="AM127" s="165"/>
      <c r="AN127" s="173"/>
      <c r="AO127" s="173"/>
      <c r="AP127" s="172"/>
      <c r="AQ127" s="165"/>
    </row>
    <row r="128" spans="1:43" x14ac:dyDescent="0.3">
      <c r="A128" s="314"/>
      <c r="B128" s="294"/>
      <c r="C128" s="294"/>
      <c r="D128" s="294"/>
      <c r="E128" s="294"/>
      <c r="F128" s="162"/>
      <c r="G128" s="298"/>
      <c r="H128" s="175"/>
      <c r="I128" s="294"/>
      <c r="J128" s="296"/>
      <c r="K128" s="289"/>
      <c r="L128" s="292"/>
      <c r="M128" s="304"/>
      <c r="N128" s="292">
        <f>IF(NOT(ISERROR(MATCH(M128,_xlfn.ANCHORARRAY(H175),0))),L177&amp;"Por favor no seleccionar los criterios de impacto",M128)</f>
        <v>0</v>
      </c>
      <c r="O128" s="289"/>
      <c r="P128" s="292"/>
      <c r="Q128" s="285"/>
      <c r="R128" s="163">
        <v>6</v>
      </c>
      <c r="S128" s="183"/>
      <c r="T128" s="164" t="str">
        <f t="shared" si="106"/>
        <v/>
      </c>
      <c r="U128" s="178"/>
      <c r="V128" s="178"/>
      <c r="W128" s="166" t="str">
        <f t="shared" si="103"/>
        <v/>
      </c>
      <c r="X128" s="178"/>
      <c r="Y128" s="178"/>
      <c r="Z128" s="178"/>
      <c r="AA128" s="167" t="str">
        <f>IFERROR(IF(AND(T127="Probabilidad",T128="Probabilidad"),(AC127-(+AC127*W128)),IF(AND(T127="Impacto",T128="Probabilidad"),(AC126-(+AC126*W128)),IF(T128="Impacto",AC127,""))),"")</f>
        <v/>
      </c>
      <c r="AB128" s="168" t="str">
        <f t="shared" si="87"/>
        <v/>
      </c>
      <c r="AC128" s="169" t="str">
        <f t="shared" si="104"/>
        <v/>
      </c>
      <c r="AD128" s="168" t="str">
        <f t="shared" si="89"/>
        <v/>
      </c>
      <c r="AE128" s="169" t="str">
        <f>IFERROR(IF(AND(T127="Impacto",T128="Impacto"),(AE127-(+AE127*W128)),IF(AND(T127="Probabilidad",T128="Impacto"),(AE126-(+AE126*W128)),IF(T128="Probabilidad",AE127,""))),"")</f>
        <v/>
      </c>
      <c r="AF128" s="170" t="str">
        <f t="shared" si="107"/>
        <v/>
      </c>
      <c r="AG128" s="171"/>
      <c r="AH128" s="172"/>
      <c r="AI128" s="172"/>
      <c r="AJ128" s="172"/>
      <c r="AK128" s="172"/>
      <c r="AL128" s="172"/>
      <c r="AM128" s="165"/>
      <c r="AN128" s="173"/>
      <c r="AO128" s="173"/>
      <c r="AP128" s="172"/>
      <c r="AQ128" s="165"/>
    </row>
    <row r="129" spans="1:43" ht="28.5" x14ac:dyDescent="0.3">
      <c r="A129" s="312">
        <v>5</v>
      </c>
      <c r="B129" s="311" t="s">
        <v>127</v>
      </c>
      <c r="C129" s="311" t="s">
        <v>240</v>
      </c>
      <c r="D129" s="311" t="s">
        <v>249</v>
      </c>
      <c r="E129" s="311" t="s">
        <v>261</v>
      </c>
      <c r="F129" s="185" t="s">
        <v>473</v>
      </c>
      <c r="G129" s="281" t="s">
        <v>474</v>
      </c>
      <c r="H129" s="177" t="s">
        <v>475</v>
      </c>
      <c r="I129" s="311" t="s">
        <v>122</v>
      </c>
      <c r="J129" s="308">
        <v>20</v>
      </c>
      <c r="K129" s="287" t="str">
        <f>IF(J129&lt;=0,"",IF(J129&lt;=2,"Muy Baja",IF(J129&lt;=24,"Baja",IF(J129&lt;=500,"Media",IF(J129&lt;=5000,"Alta","Muy Alta")))))</f>
        <v>Baja</v>
      </c>
      <c r="L129" s="290">
        <f>IF(K129="","",IF(K129="Muy Baja",0.2,IF(K129="Baja",0.4,IF(K129="Media",0.6,IF(K129="Alta",0.8,IF(K129="Muy Alta",1,))))))</f>
        <v>0.4</v>
      </c>
      <c r="M129" s="305" t="s">
        <v>149</v>
      </c>
      <c r="N129" s="290" t="str">
        <f>IF(NOT(ISERROR(MATCH(M129,'[3]Tabla Impacto'!$B$221:$B$223,0))),'[3]Tabla Impacto'!$F$223&amp;"Por favor no seleccionar los criterios de impacto(Afectación Económica o presupuestal y Pérdida Reputacional)",M129)</f>
        <v xml:space="preserve">     El riesgo afecta la imagen de de la entidad con efecto publicitario sostenido a nivel de sector administrativo, nivel departamental o municipal</v>
      </c>
      <c r="O129" s="287" t="str">
        <f>IF(OR(N129='[3]Tabla Impacto'!$C$11,N129='[3]Tabla Impacto'!$D$11),"Leve",IF(OR(N129='[3]Tabla Impacto'!$C$12,N129='[3]Tabla Impacto'!$D$12),"Menor",IF(OR(N129='[3]Tabla Impacto'!$C$13,N129='[3]Tabla Impacto'!$D$13),"Moderado",IF(OR(N129='[3]Tabla Impacto'!$C$14,N129='[3]Tabla Impacto'!$D$14),"Mayor",IF(OR(N129='[3]Tabla Impacto'!$C$15,N129='[3]Tabla Impacto'!$D$15),"Catastrófico","")))))</f>
        <v>Mayor</v>
      </c>
      <c r="P129" s="290">
        <f t="shared" ref="P129" si="108">IF(O129="","",IF(O129="Leve",0.2,IF(O129="Menor",0.4,IF(O129="Moderado",0.6,IF(O129="Mayor",0.8,IF(O129="Catastrófico",1,))))))</f>
        <v>0.8</v>
      </c>
      <c r="Q129" s="283" t="str">
        <f>IF(OR(AND(K129="Muy Baja",O129="Leve"),AND(K129="Muy Baja",O129="Menor"),AND(K129="Baja",O129="Leve")),"Bajo",IF(OR(AND(K129="Muy baja",O129="Moderado"),AND(K129="Baja",O129="Menor"),AND(K129="Baja",O129="Moderado"),AND(K129="Media",O129="Leve"),AND(K129="Media",O129="Menor"),AND(K129="Media",O129="Moderado"),AND(K129="Alta",O129="Leve"),AND(K129="Alta",O129="Menor")),"Moderado",IF(OR(AND(K129="Muy Baja",O129="Mayor"),AND(K129="Baja",O129="Mayor"),AND(K129="Media",O129="Mayor"),AND(K129="Alta",O129="Moderado"),AND(K129="Alta",O129="Mayor"),AND(K129="Muy Alta",O129="Leve"),AND(K129="Muy Alta",O129="Menor"),AND(K129="Muy Alta",O129="Moderado"),AND(K129="Muy Alta",O129="Mayor")),"Alto",IF(OR(AND(K129="Muy Baja",O129="Catastrófico"),AND(K129="Baja",O129="Catastrófico"),AND(K129="Media",O129="Catastrófico"),AND(K129="Alta",O129="Catastrófico"),AND(K129="Muy Alta",O129="Catastrófico")),"Extremo",""))))</f>
        <v>Alto</v>
      </c>
      <c r="R129" s="163">
        <v>1</v>
      </c>
      <c r="S129" s="183" t="s">
        <v>476</v>
      </c>
      <c r="T129" s="164" t="str">
        <f>IF(OR(U129="Preventivo",U129="Detectivo"),"Probabilidad",IF(U129="Correctivo","Impacto",""))</f>
        <v>Probabilidad</v>
      </c>
      <c r="U129" s="165" t="s">
        <v>14</v>
      </c>
      <c r="V129" s="165" t="s">
        <v>8</v>
      </c>
      <c r="W129" s="166" t="str">
        <f>IF(AND(U129="Preventivo",V129="Automático"),"50%",IF(AND(U129="Preventivo",V129="Manual"),"40%",IF(AND(U129="Detectivo",V129="Automático"),"40%",IF(AND(U129="Detectivo",V129="Manual"),"30%",IF(AND(U129="Correctivo",V129="Automático"),"35%",IF(AND(U129="Correctivo",V129="Manual"),"25%",""))))))</f>
        <v>30%</v>
      </c>
      <c r="X129" s="165" t="s">
        <v>18</v>
      </c>
      <c r="Y129" s="165" t="s">
        <v>21</v>
      </c>
      <c r="Z129" s="165" t="s">
        <v>116</v>
      </c>
      <c r="AA129" s="167">
        <f>IFERROR(IF(T129="Probabilidad",(L129-(+L129*W129)),IF(T129="Impacto",L129,"")),"")</f>
        <v>0.28000000000000003</v>
      </c>
      <c r="AB129" s="168" t="str">
        <f>IFERROR(IF(AA129="","",IF(AA129&lt;=0.2,"Muy Baja",IF(AA129&lt;=0.4,"Baja",IF(AA129&lt;=0.6,"Media",IF(AA129&lt;=0.8,"Alta","Muy Alta"))))),"")</f>
        <v>Baja</v>
      </c>
      <c r="AC129" s="169">
        <f>+AA129</f>
        <v>0.28000000000000003</v>
      </c>
      <c r="AD129" s="168" t="str">
        <f>IFERROR(IF(AE129="","",IF(AE129&lt;=0.2,"Leve",IF(AE129&lt;=0.4,"Menor",IF(AE129&lt;=0.6,"Moderado",IF(AE129&lt;=0.8,"Mayor","Catastrófico"))))),"")</f>
        <v>Mayor</v>
      </c>
      <c r="AE129" s="169">
        <f>IFERROR(IF(T129="Impacto",(P129-(+P129*W129)),IF(T129="Probabilidad",P129,"")),"")</f>
        <v>0.8</v>
      </c>
      <c r="AF129" s="170" t="str">
        <f>IFERROR(IF(OR(AND(AB129="Muy Baja",AD129="Leve"),AND(AB129="Muy Baja",AD129="Menor"),AND(AB129="Baja",AD129="Leve")),"Bajo",IF(OR(AND(AB129="Muy baja",AD129="Moderado"),AND(AB129="Baja",AD129="Menor"),AND(AB129="Baja",AD129="Moderado"),AND(AB129="Media",AD129="Leve"),AND(AB129="Media",AD129="Menor"),AND(AB129="Media",AD129="Moderado"),AND(AB129="Alta",AD129="Leve"),AND(AB129="Alta",AD129="Menor")),"Moderado",IF(OR(AND(AB129="Muy Baja",AD129="Mayor"),AND(AB129="Baja",AD129="Mayor"),AND(AB129="Media",AD129="Mayor"),AND(AB129="Alta",AD129="Moderado"),AND(AB129="Alta",AD129="Mayor"),AND(AB129="Muy Alta",AD129="Leve"),AND(AB129="Muy Alta",AD129="Menor"),AND(AB129="Muy Alta",AD129="Moderado"),AND(AB129="Muy Alta",AD129="Mayor")),"Alto",IF(OR(AND(AB129="Muy Baja",AD129="Catastrófico"),AND(AB129="Baja",AD129="Catastrófico"),AND(AB129="Media",AD129="Catastrófico"),AND(AB129="Alta",AD129="Catastrófico"),AND(AB129="Muy Alta",AD129="Catastrófico")),"Extremo","")))),"")</f>
        <v>Alto</v>
      </c>
      <c r="AG129" s="171" t="s">
        <v>131</v>
      </c>
      <c r="AH129" s="172" t="s">
        <v>477</v>
      </c>
      <c r="AI129" s="172" t="s">
        <v>306</v>
      </c>
      <c r="AJ129" s="172" t="s">
        <v>307</v>
      </c>
      <c r="AK129" s="172" t="s">
        <v>455</v>
      </c>
      <c r="AL129" s="172" t="s">
        <v>455</v>
      </c>
      <c r="AM129" s="172" t="s">
        <v>455</v>
      </c>
      <c r="AN129" s="172" t="s">
        <v>455</v>
      </c>
      <c r="AO129" s="172" t="s">
        <v>455</v>
      </c>
      <c r="AP129" s="172" t="s">
        <v>455</v>
      </c>
      <c r="AQ129" s="165" t="s">
        <v>39</v>
      </c>
    </row>
    <row r="130" spans="1:43" ht="71.25" x14ac:dyDescent="0.3">
      <c r="A130" s="313"/>
      <c r="B130" s="293"/>
      <c r="C130" s="293"/>
      <c r="D130" s="293"/>
      <c r="E130" s="293"/>
      <c r="F130" s="184" t="s">
        <v>478</v>
      </c>
      <c r="G130" s="282"/>
      <c r="H130" s="153"/>
      <c r="I130" s="293"/>
      <c r="J130" s="295"/>
      <c r="K130" s="288"/>
      <c r="L130" s="291"/>
      <c r="M130" s="303"/>
      <c r="N130" s="291">
        <f>IF(NOT(ISERROR(MATCH(M130,_xlfn.ANCHORARRAY(H177),0))),L179&amp;"Por favor no seleccionar los criterios de impacto",M130)</f>
        <v>0</v>
      </c>
      <c r="O130" s="288"/>
      <c r="P130" s="291"/>
      <c r="Q130" s="284"/>
      <c r="R130" s="163">
        <v>2</v>
      </c>
      <c r="S130" s="183"/>
      <c r="T130" s="164" t="str">
        <f>IF(OR(U130="Preventivo",U130="Detectivo"),"Probabilidad",IF(U130="Correctivo","Impacto",""))</f>
        <v/>
      </c>
      <c r="U130" s="178"/>
      <c r="V130" s="178"/>
      <c r="W130" s="166" t="str">
        <f t="shared" ref="W130:W134" si="109">IF(AND(U130="Preventivo",V130="Automático"),"50%",IF(AND(U130="Preventivo",V130="Manual"),"40%",IF(AND(U130="Detectivo",V130="Automático"),"40%",IF(AND(U130="Detectivo",V130="Manual"),"30%",IF(AND(U130="Correctivo",V130="Automático"),"35%",IF(AND(U130="Correctivo",V130="Manual"),"25%",""))))))</f>
        <v/>
      </c>
      <c r="X130" s="178"/>
      <c r="Y130" s="178"/>
      <c r="Z130" s="178"/>
      <c r="AA130" s="167" t="str">
        <f t="shared" ref="AA130:AA134" si="110">IFERROR(IF(T130="Probabilidad",(L130-(+L130*W130)),IF(T130="Impacto",L130,"")),"")</f>
        <v/>
      </c>
      <c r="AB130" s="168" t="str">
        <f t="shared" ref="AB130:AB134" si="111">IFERROR(IF(AA130="","",IF(AA130&lt;=0.2,"Muy Baja",IF(AA130&lt;=0.4,"Baja",IF(AA130&lt;=0.6,"Media",IF(AA130&lt;=0.8,"Alta","Muy Alta"))))),"")</f>
        <v/>
      </c>
      <c r="AC130" s="169" t="str">
        <f t="shared" ref="AC130:AC134" si="112">+AA130</f>
        <v/>
      </c>
      <c r="AD130" s="168" t="str">
        <f t="shared" si="89"/>
        <v/>
      </c>
      <c r="AE130" s="169" t="str">
        <f>IFERROR(IF(AND(T129="Impacto",T130="Impacto"),(AE129-(+AE129*W130)),IF(T130="Impacto",(P129-(+P129*W130)),IF(T130="Probabilidad",AE129,""))),"")</f>
        <v/>
      </c>
      <c r="AF130" s="170" t="str">
        <f t="shared" ref="AF130:AF131" si="113">IFERROR(IF(OR(AND(AB130="Muy Baja",AD130="Leve"),AND(AB130="Muy Baja",AD130="Menor"),AND(AB130="Baja",AD130="Leve")),"Bajo",IF(OR(AND(AB130="Muy baja",AD130="Moderado"),AND(AB130="Baja",AD130="Menor"),AND(AB130="Baja",AD130="Moderado"),AND(AB130="Media",AD130="Leve"),AND(AB130="Media",AD130="Menor"),AND(AB130="Media",AD130="Moderado"),AND(AB130="Alta",AD130="Leve"),AND(AB130="Alta",AD130="Menor")),"Moderado",IF(OR(AND(AB130="Muy Baja",AD130="Mayor"),AND(AB130="Baja",AD130="Mayor"),AND(AB130="Media",AD130="Mayor"),AND(AB130="Alta",AD130="Moderado"),AND(AB130="Alta",AD130="Mayor"),AND(AB130="Muy Alta",AD130="Leve"),AND(AB130="Muy Alta",AD130="Menor"),AND(AB130="Muy Alta",AD130="Moderado"),AND(AB130="Muy Alta",AD130="Mayor")),"Alto",IF(OR(AND(AB130="Muy Baja",AD130="Catastrófico"),AND(AB130="Baja",AD130="Catastrófico"),AND(AB130="Media",AD130="Catastrófico"),AND(AB130="Alta",AD130="Catastrófico"),AND(AB130="Muy Alta",AD130="Catastrófico")),"Extremo","")))),"")</f>
        <v/>
      </c>
      <c r="AG130" s="171"/>
      <c r="AH130" s="172"/>
      <c r="AI130" s="172"/>
      <c r="AJ130" s="172"/>
      <c r="AK130" s="172"/>
      <c r="AL130" s="172"/>
      <c r="AM130" s="165"/>
      <c r="AN130" s="173"/>
      <c r="AO130" s="173"/>
      <c r="AP130" s="172"/>
      <c r="AQ130" s="165"/>
    </row>
    <row r="131" spans="1:43" x14ac:dyDescent="0.3">
      <c r="A131" s="313"/>
      <c r="B131" s="293"/>
      <c r="C131" s="293"/>
      <c r="D131" s="293"/>
      <c r="E131" s="293"/>
      <c r="F131" s="152"/>
      <c r="G131" s="282"/>
      <c r="H131" s="153"/>
      <c r="I131" s="293"/>
      <c r="J131" s="295"/>
      <c r="K131" s="288"/>
      <c r="L131" s="291"/>
      <c r="M131" s="303"/>
      <c r="N131" s="291">
        <f>IF(NOT(ISERROR(MATCH(M131,_xlfn.ANCHORARRAY(H178),0))),L180&amp;"Por favor no seleccionar los criterios de impacto",M131)</f>
        <v>0</v>
      </c>
      <c r="O131" s="288"/>
      <c r="P131" s="291"/>
      <c r="Q131" s="284"/>
      <c r="R131" s="163">
        <v>3</v>
      </c>
      <c r="S131" s="174"/>
      <c r="T131" s="164" t="str">
        <f>IF(OR(U131="Preventivo",U131="Detectivo"),"Probabilidad",IF(U131="Correctivo","Impacto",""))</f>
        <v/>
      </c>
      <c r="U131" s="178"/>
      <c r="V131" s="178"/>
      <c r="W131" s="166" t="str">
        <f t="shared" si="109"/>
        <v/>
      </c>
      <c r="X131" s="178"/>
      <c r="Y131" s="178"/>
      <c r="Z131" s="178"/>
      <c r="AA131" s="167" t="str">
        <f t="shared" si="110"/>
        <v/>
      </c>
      <c r="AB131" s="168" t="str">
        <f t="shared" si="111"/>
        <v/>
      </c>
      <c r="AC131" s="169" t="str">
        <f t="shared" si="112"/>
        <v/>
      </c>
      <c r="AD131" s="168" t="str">
        <f t="shared" si="89"/>
        <v/>
      </c>
      <c r="AE131" s="169" t="str">
        <f>IFERROR(IF(AND(T130="Impacto",T131="Impacto"),(AE130-(+AE130*W131)),IF(AND(T130="Probabilidad",T131="Impacto"),(AE129-(+AE129*W131)),IF(T131="Probabilidad",AE130,""))),"")</f>
        <v/>
      </c>
      <c r="AF131" s="170" t="str">
        <f t="shared" si="113"/>
        <v/>
      </c>
      <c r="AG131" s="171"/>
      <c r="AH131" s="172"/>
      <c r="AI131" s="172"/>
      <c r="AJ131" s="172"/>
      <c r="AK131" s="172"/>
      <c r="AL131" s="172"/>
      <c r="AM131" s="165"/>
      <c r="AN131" s="173"/>
      <c r="AO131" s="173"/>
      <c r="AP131" s="172"/>
      <c r="AQ131" s="165"/>
    </row>
    <row r="132" spans="1:43" x14ac:dyDescent="0.3">
      <c r="A132" s="313"/>
      <c r="B132" s="293"/>
      <c r="C132" s="293"/>
      <c r="D132" s="293"/>
      <c r="E132" s="293"/>
      <c r="F132" s="152"/>
      <c r="G132" s="282"/>
      <c r="H132" s="153"/>
      <c r="I132" s="293"/>
      <c r="J132" s="295"/>
      <c r="K132" s="288"/>
      <c r="L132" s="291"/>
      <c r="M132" s="303"/>
      <c r="N132" s="291">
        <f>IF(NOT(ISERROR(MATCH(M132,_xlfn.ANCHORARRAY(H179),0))),L181&amp;"Por favor no seleccionar los criterios de impacto",M132)</f>
        <v>0</v>
      </c>
      <c r="O132" s="288"/>
      <c r="P132" s="291"/>
      <c r="Q132" s="284"/>
      <c r="R132" s="163">
        <v>4</v>
      </c>
      <c r="S132" s="183"/>
      <c r="T132" s="164" t="str">
        <f t="shared" ref="T132:T134" si="114">IF(OR(U132="Preventivo",U132="Detectivo"),"Probabilidad",IF(U132="Correctivo","Impacto",""))</f>
        <v/>
      </c>
      <c r="U132" s="178"/>
      <c r="V132" s="178"/>
      <c r="W132" s="166" t="str">
        <f t="shared" si="109"/>
        <v/>
      </c>
      <c r="X132" s="178"/>
      <c r="Y132" s="178"/>
      <c r="Z132" s="178"/>
      <c r="AA132" s="167" t="str">
        <f t="shared" si="110"/>
        <v/>
      </c>
      <c r="AB132" s="168" t="str">
        <f t="shared" si="111"/>
        <v/>
      </c>
      <c r="AC132" s="169" t="str">
        <f t="shared" si="112"/>
        <v/>
      </c>
      <c r="AD132" s="179" t="str">
        <f t="shared" si="89"/>
        <v/>
      </c>
      <c r="AE132" s="169" t="str">
        <f>IFERROR(IF(AND(T131="Impacto",T132="Impacto"),(AE131-(+AE131*W132)),IF(AND(T131="Probabilidad",T132="Impacto"),(AE130-(+AE130*W132)),IF(T132="Probabilidad",AE131,""))),"")</f>
        <v/>
      </c>
      <c r="AF132" s="180" t="str">
        <f>IFERROR(IF(OR(AND(AB132="Muy Baja",AD132="Leve"),AND(AB132="Muy Baja",AD132="Menor"),AND(AB132="Baja",AD132="Leve")),"Bajo",IF(OR(AND(AB132="Muy baja",AD132="Moderado"),AND(AB132="Baja",AD132="Menor"),AND(AB132="Baja",AD132="Moderado"),AND(AB132="Media",AD132="Leve"),AND(AB132="Media",AD132="Menor"),AND(AB132="Media",AD132="Moderado"),AND(AB132="Alta",AD132="Leve"),AND(AB132="Alta",AD132="Menor")),"Moderado",IF(OR(AND(AB132="Muy Baja",AD132="Mayor"),AND(AB132="Baja",AD132="Mayor"),AND(AB132="Media",AD132="Mayor"),AND(AB132="Alta",AD132="Moderado"),AND(AB132="Alta",AD132="Mayor"),AND(AB132="Muy Alta",AD132="Leve"),AND(AB132="Muy Alta",AD132="Menor"),AND(AB132="Muy Alta",AD132="Moderado"),AND(AB132="Muy Alta",AD132="Mayor")),"Alto",IF(OR(AND(AB132="Muy Baja",AD132="Catastrófico"),AND(AB132="Baja",AD132="Catastrófico"),AND(AB132="Media",AD132="Catastrófico"),AND(AB132="Alta",AD132="Catastrófico"),AND(AB132="Muy Alta",AD132="Catastrófico")),"Extremo","")))),"")</f>
        <v/>
      </c>
      <c r="AG132" s="181"/>
      <c r="AH132" s="172"/>
      <c r="AI132" s="172"/>
      <c r="AJ132" s="172"/>
      <c r="AK132" s="172"/>
      <c r="AL132" s="172"/>
      <c r="AM132" s="165"/>
      <c r="AN132" s="173"/>
      <c r="AO132" s="173"/>
      <c r="AP132" s="172"/>
      <c r="AQ132" s="165"/>
    </row>
    <row r="133" spans="1:43" x14ac:dyDescent="0.3">
      <c r="A133" s="313"/>
      <c r="B133" s="293"/>
      <c r="C133" s="293"/>
      <c r="D133" s="293"/>
      <c r="E133" s="293"/>
      <c r="F133" s="152"/>
      <c r="G133" s="282"/>
      <c r="H133" s="153"/>
      <c r="I133" s="293"/>
      <c r="J133" s="295"/>
      <c r="K133" s="288"/>
      <c r="L133" s="291"/>
      <c r="M133" s="303"/>
      <c r="N133" s="291">
        <f>IF(NOT(ISERROR(MATCH(M133,_xlfn.ANCHORARRAY(H180),0))),L182&amp;"Por favor no seleccionar los criterios de impacto",M133)</f>
        <v>0</v>
      </c>
      <c r="O133" s="288"/>
      <c r="P133" s="291"/>
      <c r="Q133" s="284"/>
      <c r="R133" s="163">
        <v>5</v>
      </c>
      <c r="S133" s="183"/>
      <c r="T133" s="164" t="str">
        <f t="shared" si="114"/>
        <v/>
      </c>
      <c r="U133" s="178"/>
      <c r="V133" s="178"/>
      <c r="W133" s="166" t="str">
        <f t="shared" si="109"/>
        <v/>
      </c>
      <c r="X133" s="178"/>
      <c r="Y133" s="178"/>
      <c r="Z133" s="178"/>
      <c r="AA133" s="167" t="str">
        <f t="shared" si="110"/>
        <v/>
      </c>
      <c r="AB133" s="168" t="str">
        <f t="shared" si="111"/>
        <v/>
      </c>
      <c r="AC133" s="169" t="str">
        <f t="shared" si="112"/>
        <v/>
      </c>
      <c r="AD133" s="179" t="str">
        <f t="shared" si="89"/>
        <v/>
      </c>
      <c r="AE133" s="169" t="str">
        <f>IFERROR(IF(AND(T132="Impacto",T133="Impacto"),(AE132-(+AE132*W133)),IF(AND(T132="Probabilidad",T133="Impacto"),(AE131-(+AE131*W133)),IF(T133="Probabilidad",AE132,""))),"")</f>
        <v/>
      </c>
      <c r="AF133" s="180" t="str">
        <f t="shared" ref="AF133:AF134" si="115">IFERROR(IF(OR(AND(AB133="Muy Baja",AD133="Leve"),AND(AB133="Muy Baja",AD133="Menor"),AND(AB133="Baja",AD133="Leve")),"Bajo",IF(OR(AND(AB133="Muy baja",AD133="Moderado"),AND(AB133="Baja",AD133="Menor"),AND(AB133="Baja",AD133="Moderado"),AND(AB133="Media",AD133="Leve"),AND(AB133="Media",AD133="Menor"),AND(AB133="Media",AD133="Moderado"),AND(AB133="Alta",AD133="Leve"),AND(AB133="Alta",AD133="Menor")),"Moderado",IF(OR(AND(AB133="Muy Baja",AD133="Mayor"),AND(AB133="Baja",AD133="Mayor"),AND(AB133="Media",AD133="Mayor"),AND(AB133="Alta",AD133="Moderado"),AND(AB133="Alta",AD133="Mayor"),AND(AB133="Muy Alta",AD133="Leve"),AND(AB133="Muy Alta",AD133="Menor"),AND(AB133="Muy Alta",AD133="Moderado"),AND(AB133="Muy Alta",AD133="Mayor")),"Alto",IF(OR(AND(AB133="Muy Baja",AD133="Catastrófico"),AND(AB133="Baja",AD133="Catastrófico"),AND(AB133="Media",AD133="Catastrófico"),AND(AB133="Alta",AD133="Catastrófico"),AND(AB133="Muy Alta",AD133="Catastrófico")),"Extremo","")))),"")</f>
        <v/>
      </c>
      <c r="AG133" s="181"/>
      <c r="AH133" s="172"/>
      <c r="AI133" s="172"/>
      <c r="AJ133" s="172"/>
      <c r="AK133" s="172"/>
      <c r="AL133" s="172"/>
      <c r="AM133" s="165"/>
      <c r="AN133" s="173"/>
      <c r="AO133" s="173"/>
      <c r="AP133" s="172"/>
      <c r="AQ133" s="165"/>
    </row>
    <row r="134" spans="1:43" x14ac:dyDescent="0.3">
      <c r="A134" s="314"/>
      <c r="B134" s="294"/>
      <c r="C134" s="294"/>
      <c r="D134" s="294"/>
      <c r="E134" s="294"/>
      <c r="F134" s="162"/>
      <c r="G134" s="298"/>
      <c r="H134" s="175"/>
      <c r="I134" s="294"/>
      <c r="J134" s="296"/>
      <c r="K134" s="289"/>
      <c r="L134" s="292"/>
      <c r="M134" s="304"/>
      <c r="N134" s="292">
        <f>IF(NOT(ISERROR(MATCH(M134,_xlfn.ANCHORARRAY(H181),0))),L183&amp;"Por favor no seleccionar los criterios de impacto",M134)</f>
        <v>0</v>
      </c>
      <c r="O134" s="289"/>
      <c r="P134" s="292"/>
      <c r="Q134" s="285"/>
      <c r="R134" s="163">
        <v>6</v>
      </c>
      <c r="S134" s="183"/>
      <c r="T134" s="164" t="str">
        <f t="shared" si="114"/>
        <v/>
      </c>
      <c r="U134" s="178"/>
      <c r="V134" s="178"/>
      <c r="W134" s="166" t="str">
        <f t="shared" si="109"/>
        <v/>
      </c>
      <c r="X134" s="178"/>
      <c r="Y134" s="178"/>
      <c r="Z134" s="178"/>
      <c r="AA134" s="167" t="str">
        <f t="shared" si="110"/>
        <v/>
      </c>
      <c r="AB134" s="168" t="str">
        <f t="shared" si="111"/>
        <v/>
      </c>
      <c r="AC134" s="169" t="str">
        <f t="shared" si="112"/>
        <v/>
      </c>
      <c r="AD134" s="179" t="str">
        <f t="shared" si="89"/>
        <v/>
      </c>
      <c r="AE134" s="169" t="str">
        <f>IFERROR(IF(AND(T133="Impacto",T134="Impacto"),(AE133-(+AE133*W134)),IF(AND(T133="Probabilidad",T134="Impacto"),(AE132-(+AE132*W134)),IF(T134="Probabilidad",AE133,""))),"")</f>
        <v/>
      </c>
      <c r="AF134" s="180" t="str">
        <f t="shared" si="115"/>
        <v/>
      </c>
      <c r="AG134" s="181"/>
      <c r="AH134" s="172"/>
      <c r="AI134" s="172"/>
      <c r="AJ134" s="172"/>
      <c r="AK134" s="172"/>
      <c r="AL134" s="172"/>
      <c r="AM134" s="165"/>
      <c r="AN134" s="173"/>
      <c r="AO134" s="173"/>
      <c r="AP134" s="172"/>
      <c r="AQ134" s="165"/>
    </row>
    <row r="135" spans="1:43" x14ac:dyDescent="0.3">
      <c r="A135" s="310" t="s">
        <v>0</v>
      </c>
      <c r="B135" s="315" t="s">
        <v>2</v>
      </c>
      <c r="C135" s="286" t="s">
        <v>234</v>
      </c>
      <c r="D135" s="286" t="s">
        <v>237</v>
      </c>
      <c r="E135" s="286" t="s">
        <v>235</v>
      </c>
      <c r="F135" s="286" t="s">
        <v>236</v>
      </c>
      <c r="G135" s="315" t="s">
        <v>1</v>
      </c>
      <c r="H135" s="315" t="s">
        <v>308</v>
      </c>
      <c r="I135" s="286" t="s">
        <v>47</v>
      </c>
      <c r="J135" s="286" t="s">
        <v>130</v>
      </c>
      <c r="K135" s="286" t="s">
        <v>32</v>
      </c>
      <c r="L135" s="315" t="s">
        <v>4</v>
      </c>
      <c r="M135" s="286" t="s">
        <v>84</v>
      </c>
      <c r="N135" s="286" t="s">
        <v>89</v>
      </c>
      <c r="O135" s="286" t="s">
        <v>42</v>
      </c>
      <c r="P135" s="315" t="s">
        <v>4</v>
      </c>
      <c r="Q135" s="286" t="s">
        <v>45</v>
      </c>
      <c r="R135" s="322" t="s">
        <v>10</v>
      </c>
      <c r="S135" s="286" t="s">
        <v>156</v>
      </c>
      <c r="T135" s="286" t="s">
        <v>11</v>
      </c>
      <c r="U135" s="286" t="s">
        <v>7</v>
      </c>
      <c r="V135" s="286"/>
      <c r="W135" s="286"/>
      <c r="X135" s="286"/>
      <c r="Y135" s="286"/>
      <c r="Z135" s="286"/>
      <c r="AA135" s="286" t="s">
        <v>133</v>
      </c>
      <c r="AB135" s="286" t="s">
        <v>43</v>
      </c>
      <c r="AC135" s="286" t="s">
        <v>4</v>
      </c>
      <c r="AD135" s="286" t="s">
        <v>44</v>
      </c>
      <c r="AE135" s="286" t="s">
        <v>4</v>
      </c>
      <c r="AF135" s="286" t="s">
        <v>46</v>
      </c>
      <c r="AG135" s="286" t="s">
        <v>28</v>
      </c>
      <c r="AH135" s="286" t="s">
        <v>302</v>
      </c>
      <c r="AI135" s="286" t="s">
        <v>303</v>
      </c>
      <c r="AJ135" s="286" t="s">
        <v>304</v>
      </c>
      <c r="AK135" s="286" t="s">
        <v>305</v>
      </c>
      <c r="AL135" s="286" t="s">
        <v>33</v>
      </c>
      <c r="AM135" s="286" t="s">
        <v>34</v>
      </c>
      <c r="AN135" s="286" t="s">
        <v>35</v>
      </c>
      <c r="AO135" s="286" t="s">
        <v>37</v>
      </c>
      <c r="AP135" s="286" t="s">
        <v>36</v>
      </c>
      <c r="AQ135" s="286" t="s">
        <v>38</v>
      </c>
    </row>
    <row r="136" spans="1:43" x14ac:dyDescent="0.3">
      <c r="A136" s="310"/>
      <c r="B136" s="315"/>
      <c r="C136" s="286"/>
      <c r="D136" s="286"/>
      <c r="E136" s="286"/>
      <c r="F136" s="286"/>
      <c r="G136" s="315"/>
      <c r="H136" s="315"/>
      <c r="I136" s="286"/>
      <c r="J136" s="286"/>
      <c r="K136" s="286"/>
      <c r="L136" s="315"/>
      <c r="M136" s="286"/>
      <c r="N136" s="286"/>
      <c r="O136" s="315"/>
      <c r="P136" s="315"/>
      <c r="Q136" s="286"/>
      <c r="R136" s="322"/>
      <c r="S136" s="286"/>
      <c r="T136" s="286"/>
      <c r="U136" s="200" t="s">
        <v>12</v>
      </c>
      <c r="V136" s="200" t="s">
        <v>16</v>
      </c>
      <c r="W136" s="200" t="s">
        <v>27</v>
      </c>
      <c r="X136" s="200" t="s">
        <v>17</v>
      </c>
      <c r="Y136" s="200" t="s">
        <v>20</v>
      </c>
      <c r="Z136" s="200" t="s">
        <v>23</v>
      </c>
      <c r="AA136" s="286"/>
      <c r="AB136" s="286"/>
      <c r="AC136" s="286"/>
      <c r="AD136" s="286"/>
      <c r="AE136" s="286"/>
      <c r="AF136" s="286"/>
      <c r="AG136" s="286"/>
      <c r="AH136" s="286"/>
      <c r="AI136" s="286"/>
      <c r="AJ136" s="286"/>
      <c r="AK136" s="286"/>
      <c r="AL136" s="286"/>
      <c r="AM136" s="286"/>
      <c r="AN136" s="286"/>
      <c r="AO136" s="286"/>
      <c r="AP136" s="286"/>
      <c r="AQ136" s="286"/>
    </row>
    <row r="137" spans="1:43" ht="28.5" x14ac:dyDescent="0.3">
      <c r="A137" s="313">
        <v>1</v>
      </c>
      <c r="B137" s="293" t="s">
        <v>127</v>
      </c>
      <c r="C137" s="293" t="s">
        <v>247</v>
      </c>
      <c r="D137" s="293" t="s">
        <v>248</v>
      </c>
      <c r="E137" s="293" t="s">
        <v>266</v>
      </c>
      <c r="F137" s="186" t="s">
        <v>479</v>
      </c>
      <c r="G137" s="297" t="s">
        <v>480</v>
      </c>
      <c r="H137" s="196" t="s">
        <v>481</v>
      </c>
      <c r="I137" s="293" t="s">
        <v>120</v>
      </c>
      <c r="J137" s="295">
        <v>2</v>
      </c>
      <c r="K137" s="288" t="str">
        <f>IF(J137&lt;=0,"",IF(J137&lt;=2,"Muy Baja",IF(J137&lt;=24,"Baja",IF(J137&lt;=500,"Media",IF(J137&lt;=5000,"Alta","Muy Alta")))))</f>
        <v>Muy Baja</v>
      </c>
      <c r="L137" s="291">
        <f>IF(K137="","",IF(K137="Muy Baja",0.2,IF(K137="Baja",0.4,IF(K137="Media",0.6,IF(K137="Alta",0.8,IF(K137="Muy Alta",1,))))))</f>
        <v>0.2</v>
      </c>
      <c r="M137" s="303" t="s">
        <v>148</v>
      </c>
      <c r="N137" s="291" t="str">
        <f>IF(NOT(ISERROR(MATCH(M137,'[4]Tabla Impacto'!$B$221:$B$223,0))),'[4]Tabla Impacto'!$F$223&amp;"Por favor no seleccionar los criterios de impacto(Afectación Económica o presupuestal y Pérdida Reputacional)",M137)</f>
        <v xml:space="preserve">     El riesgo afecta la imagen de la entidad con algunos usuarios de relevancia frente al logro de los objetivos</v>
      </c>
      <c r="O137" s="288" t="str">
        <f>IF(OR(N137='[4]Tabla Impacto'!$C$11,N137='[4]Tabla Impacto'!$D$11),"Leve",IF(OR(N137='[4]Tabla Impacto'!$C$12,N137='[4]Tabla Impacto'!$D$12),"Menor",IF(OR(N137='[4]Tabla Impacto'!$C$13,N137='[4]Tabla Impacto'!$D$13),"Moderado",IF(OR(N137='[4]Tabla Impacto'!$C$14,N137='[4]Tabla Impacto'!$D$14),"Mayor",IF(OR(N137='[4]Tabla Impacto'!$C$15,N137='[4]Tabla Impacto'!$D$15),"Catastrófico","")))))</f>
        <v>Moderado</v>
      </c>
      <c r="P137" s="291">
        <f>IF(O137="","",IF(O137="Leve",0.2,IF(O137="Menor",0.4,IF(O137="Moderado",0.6,IF(O137="Mayor",0.8,IF(O137="Catastrófico",1,))))))</f>
        <v>0.6</v>
      </c>
      <c r="Q137" s="284" t="str">
        <f>IF(OR(AND(K137="Muy Baja",O137="Leve"),AND(K137="Muy Baja",O137="Menor"),AND(K137="Baja",O137="Leve")),"Bajo",IF(OR(AND(K137="Muy baja",O137="Moderado"),AND(K137="Baja",O137="Menor"),AND(K137="Baja",O137="Moderado"),AND(K137="Media",O137="Leve"),AND(K137="Media",O137="Menor"),AND(K137="Media",O137="Moderado"),AND(K137="Alta",O137="Leve"),AND(K137="Alta",O137="Menor")),"Moderado",IF(OR(AND(K137="Muy Baja",O137="Mayor"),AND(K137="Baja",O137="Mayor"),AND(K137="Media",O137="Mayor"),AND(K137="Alta",O137="Moderado"),AND(K137="Alta",O137="Mayor"),AND(K137="Muy Alta",O137="Leve"),AND(K137="Muy Alta",O137="Menor"),AND(K137="Muy Alta",O137="Moderado"),AND(K137="Muy Alta",O137="Mayor")),"Alto",IF(OR(AND(K137="Muy Baja",O137="Catastrófico"),AND(K137="Baja",O137="Catastrófico"),AND(K137="Media",O137="Catastrófico"),AND(K137="Alta",O137="Catastrófico"),AND(K137="Muy Alta",O137="Catastrófico")),"Extremo",""))))</f>
        <v>Moderado</v>
      </c>
      <c r="R137" s="154">
        <v>1</v>
      </c>
      <c r="S137" s="231" t="s">
        <v>482</v>
      </c>
      <c r="T137" s="155" t="str">
        <f>IF(OR(U137="Preventivo",U137="Detectivo"),"Probabilidad",IF(U137="Correctivo","Impacto",""))</f>
        <v>Probabilidad</v>
      </c>
      <c r="U137" s="156" t="s">
        <v>14</v>
      </c>
      <c r="V137" s="156" t="s">
        <v>8</v>
      </c>
      <c r="W137" s="157" t="str">
        <f>IF(AND(U137="Preventivo",V137="Automático"),"50%",IF(AND(U137="Preventivo",V137="Manual"),"40%",IF(AND(U137="Detectivo",V137="Automático"),"40%",IF(AND(U137="Detectivo",V137="Manual"),"30%",IF(AND(U137="Correctivo",V137="Automático"),"35%",IF(AND(U137="Correctivo",V137="Manual"),"25%",""))))))</f>
        <v>30%</v>
      </c>
      <c r="X137" s="156" t="s">
        <v>18</v>
      </c>
      <c r="Y137" s="156" t="s">
        <v>22</v>
      </c>
      <c r="Z137" s="156" t="s">
        <v>116</v>
      </c>
      <c r="AA137" s="158">
        <f>IFERROR(IF(T137="Probabilidad",(L137-(+L137*W137)),IF(T137="Impacto",L137,"")),"")</f>
        <v>0.14000000000000001</v>
      </c>
      <c r="AB137" s="159" t="str">
        <f>IFERROR(IF(AA137="","",IF(AA137&lt;=0.2,"Muy Baja",IF(AA137&lt;=0.4,"Baja",IF(AA137&lt;=0.6,"Media",IF(AA137&lt;=0.8,"Alta","Muy Alta"))))),"")</f>
        <v>Muy Baja</v>
      </c>
      <c r="AC137" s="160">
        <f>+AA137</f>
        <v>0.14000000000000001</v>
      </c>
      <c r="AD137" s="159" t="str">
        <f>IFERROR(IF(AE137="","",IF(AE137&lt;=0.2,"Leve",IF(AE137&lt;=0.4,"Menor",IF(AE137&lt;=0.6,"Moderado",IF(AE137&lt;=0.8,"Mayor","Catastrófico"))))),"")</f>
        <v>Moderado</v>
      </c>
      <c r="AE137" s="160">
        <f>IFERROR(IF(T137="Impacto",(P137-(+P137*W137)),IF(T137="Probabilidad",P137,"")),"")</f>
        <v>0.6</v>
      </c>
      <c r="AF137" s="161" t="str">
        <f>IFERROR(IF(OR(AND(AB137="Muy Baja",AD137="Leve"),AND(AB137="Muy Baja",AD137="Menor"),AND(AB137="Baja",AD137="Leve")),"Bajo",IF(OR(AND(AB137="Muy baja",AD137="Moderado"),AND(AB137="Baja",AD137="Menor"),AND(AB137="Baja",AD137="Moderado"),AND(AB137="Media",AD137="Leve"),AND(AB137="Media",AD137="Menor"),AND(AB137="Media",AD137="Moderado"),AND(AB137="Alta",AD137="Leve"),AND(AB137="Alta",AD137="Menor")),"Moderado",IF(OR(AND(AB137="Muy Baja",AD137="Mayor"),AND(AB137="Baja",AD137="Mayor"),AND(AB137="Media",AD137="Mayor"),AND(AB137="Alta",AD137="Moderado"),AND(AB137="Alta",AD137="Mayor"),AND(AB137="Muy Alta",AD137="Leve"),AND(AB137="Muy Alta",AD137="Menor"),AND(AB137="Muy Alta",AD137="Moderado"),AND(AB137="Muy Alta",AD137="Mayor")),"Alto",IF(OR(AND(AB137="Muy Baja",AD137="Catastrófico"),AND(AB137="Baja",AD137="Catastrófico"),AND(AB137="Media",AD137="Catastrófico"),AND(AB137="Alta",AD137="Catastrófico"),AND(AB137="Muy Alta",AD137="Catastrófico")),"Extremo","")))),"")</f>
        <v>Moderado</v>
      </c>
      <c r="AG137" s="232" t="s">
        <v>131</v>
      </c>
      <c r="AH137" s="162" t="s">
        <v>483</v>
      </c>
      <c r="AI137" s="162" t="s">
        <v>306</v>
      </c>
      <c r="AJ137" s="162" t="s">
        <v>307</v>
      </c>
      <c r="AK137" s="162" t="s">
        <v>343</v>
      </c>
      <c r="AL137" s="162" t="s">
        <v>343</v>
      </c>
      <c r="AM137" s="156" t="s">
        <v>343</v>
      </c>
      <c r="AN137" s="233" t="s">
        <v>343</v>
      </c>
      <c r="AO137" s="233" t="s">
        <v>343</v>
      </c>
      <c r="AP137" s="233" t="s">
        <v>343</v>
      </c>
      <c r="AQ137" s="156" t="s">
        <v>39</v>
      </c>
    </row>
    <row r="138" spans="1:43" ht="42.75" x14ac:dyDescent="0.3">
      <c r="A138" s="313"/>
      <c r="B138" s="293"/>
      <c r="C138" s="293"/>
      <c r="D138" s="293"/>
      <c r="E138" s="293"/>
      <c r="F138" s="186" t="s">
        <v>484</v>
      </c>
      <c r="G138" s="282"/>
      <c r="H138" s="196" t="s">
        <v>485</v>
      </c>
      <c r="I138" s="293"/>
      <c r="J138" s="295"/>
      <c r="K138" s="288"/>
      <c r="L138" s="291"/>
      <c r="M138" s="303"/>
      <c r="N138" s="291">
        <f>IF(NOT(ISERROR(MATCH(M138,_xlfn.ANCHORARRAY(#REF!),0))),#REF!&amp;"Por favor no seleccionar los criterios de impacto",M138)</f>
        <v>0</v>
      </c>
      <c r="O138" s="288"/>
      <c r="P138" s="291"/>
      <c r="Q138" s="284"/>
      <c r="R138" s="163">
        <v>2</v>
      </c>
      <c r="S138" s="197" t="s">
        <v>486</v>
      </c>
      <c r="T138" s="164" t="str">
        <f>IF(OR(U138="Preventivo",U138="Detectivo"),"Probabilidad",IF(U138="Correctivo","Impacto",""))</f>
        <v>Probabilidad</v>
      </c>
      <c r="U138" s="165" t="s">
        <v>14</v>
      </c>
      <c r="V138" s="165" t="s">
        <v>8</v>
      </c>
      <c r="W138" s="166" t="str">
        <f t="shared" ref="W138:W142" si="116">IF(AND(U138="Preventivo",V138="Automático"),"50%",IF(AND(U138="Preventivo",V138="Manual"),"40%",IF(AND(U138="Detectivo",V138="Automático"),"40%",IF(AND(U138="Detectivo",V138="Manual"),"30%",IF(AND(U138="Correctivo",V138="Automático"),"35%",IF(AND(U138="Correctivo",V138="Manual"),"25%",""))))))</f>
        <v>30%</v>
      </c>
      <c r="X138" s="165" t="s">
        <v>18</v>
      </c>
      <c r="Y138" s="165" t="s">
        <v>21</v>
      </c>
      <c r="Z138" s="165" t="s">
        <v>116</v>
      </c>
      <c r="AA138" s="167">
        <f>IFERROR(IF(AND(T137="Probabilidad",T138="Probabilidad"),(AC137-(+AC137*W138)),IF(T138="Probabilidad",(L137-(+L137*W138)),IF(T138="Impacto",AC137,""))),"")</f>
        <v>9.8000000000000004E-2</v>
      </c>
      <c r="AB138" s="168" t="str">
        <f t="shared" ref="AB138:AB154" si="117">IFERROR(IF(AA138="","",IF(AA138&lt;=0.2,"Muy Baja",IF(AA138&lt;=0.4,"Baja",IF(AA138&lt;=0.6,"Media",IF(AA138&lt;=0.8,"Alta","Muy Alta"))))),"")</f>
        <v>Muy Baja</v>
      </c>
      <c r="AC138" s="169">
        <f t="shared" ref="AC138:AC142" si="118">+AA138</f>
        <v>9.8000000000000004E-2</v>
      </c>
      <c r="AD138" s="168" t="str">
        <f t="shared" ref="AD138:AD154" si="119">IFERROR(IF(AE138="","",IF(AE138&lt;=0.2,"Leve",IF(AE138&lt;=0.4,"Menor",IF(AE138&lt;=0.6,"Moderado",IF(AE138&lt;=0.8,"Mayor","Catastrófico"))))),"")</f>
        <v>Moderado</v>
      </c>
      <c r="AE138" s="169">
        <f>IFERROR(IF(AND(T137="Impacto",T138="Impacto"),(AE137-(+AE137*W138)),IF(T138="Impacto",(P137-(+P137*W138)),IF(T138="Probabilidad",AE137,""))),"")</f>
        <v>0.6</v>
      </c>
      <c r="AF138" s="170" t="str">
        <f t="shared" ref="AF138:AF142" si="120">IFERROR(IF(OR(AND(AB138="Muy Baja",AD138="Leve"),AND(AB138="Muy Baja",AD138="Menor"),AND(AB138="Baja",AD138="Leve")),"Bajo",IF(OR(AND(AB138="Muy baja",AD138="Moderado"),AND(AB138="Baja",AD138="Menor"),AND(AB138="Baja",AD138="Moderado"),AND(AB138="Media",AD138="Leve"),AND(AB138="Media",AD138="Menor"),AND(AB138="Media",AD138="Moderado"),AND(AB138="Alta",AD138="Leve"),AND(AB138="Alta",AD138="Menor")),"Moderado",IF(OR(AND(AB138="Muy Baja",AD138="Mayor"),AND(AB138="Baja",AD138="Mayor"),AND(AB138="Media",AD138="Mayor"),AND(AB138="Alta",AD138="Moderado"),AND(AB138="Alta",AD138="Mayor"),AND(AB138="Muy Alta",AD138="Leve"),AND(AB138="Muy Alta",AD138="Menor"),AND(AB138="Muy Alta",AD138="Moderado"),AND(AB138="Muy Alta",AD138="Mayor")),"Alto",IF(OR(AND(AB138="Muy Baja",AD138="Catastrófico"),AND(AB138="Baja",AD138="Catastrófico"),AND(AB138="Media",AD138="Catastrófico"),AND(AB138="Alta",AD138="Catastrófico"),AND(AB138="Muy Alta",AD138="Catastrófico")),"Extremo","")))),"")</f>
        <v>Moderado</v>
      </c>
      <c r="AG138" s="195"/>
      <c r="AH138" s="172" t="s">
        <v>487</v>
      </c>
      <c r="AI138" s="172" t="s">
        <v>306</v>
      </c>
      <c r="AJ138" s="172" t="s">
        <v>307</v>
      </c>
      <c r="AK138" s="162" t="s">
        <v>343</v>
      </c>
      <c r="AL138" s="162" t="s">
        <v>343</v>
      </c>
      <c r="AM138" s="162" t="s">
        <v>343</v>
      </c>
      <c r="AN138" s="162" t="s">
        <v>343</v>
      </c>
      <c r="AO138" s="162" t="s">
        <v>343</v>
      </c>
      <c r="AP138" s="162" t="s">
        <v>343</v>
      </c>
      <c r="AQ138" s="165" t="s">
        <v>39</v>
      </c>
    </row>
    <row r="139" spans="1:43" x14ac:dyDescent="0.3">
      <c r="A139" s="313"/>
      <c r="B139" s="293"/>
      <c r="C139" s="293"/>
      <c r="D139" s="293"/>
      <c r="E139" s="293"/>
      <c r="F139" s="152"/>
      <c r="G139" s="282"/>
      <c r="H139" s="153"/>
      <c r="I139" s="293"/>
      <c r="J139" s="295"/>
      <c r="K139" s="288"/>
      <c r="L139" s="291"/>
      <c r="M139" s="303"/>
      <c r="N139" s="291">
        <f>IF(NOT(ISERROR(MATCH(M139,_xlfn.ANCHORARRAY(#REF!),0))),#REF!&amp;"Por favor no seleccionar los criterios de impacto",M139)</f>
        <v>0</v>
      </c>
      <c r="O139" s="288"/>
      <c r="P139" s="291"/>
      <c r="Q139" s="284"/>
      <c r="R139" s="163">
        <v>3</v>
      </c>
      <c r="S139" s="174"/>
      <c r="T139" s="164" t="str">
        <f>IF(OR(U139="Preventivo",U139="Detectivo"),"Probabilidad",IF(U139="Correctivo","Impacto",""))</f>
        <v/>
      </c>
      <c r="U139" s="165"/>
      <c r="V139" s="165"/>
      <c r="W139" s="166" t="str">
        <f t="shared" si="116"/>
        <v/>
      </c>
      <c r="X139" s="165"/>
      <c r="Y139" s="165"/>
      <c r="Z139" s="165"/>
      <c r="AA139" s="167" t="str">
        <f>IFERROR(IF(AND(T138="Probabilidad",T139="Probabilidad"),(AC138-(+AC138*W139)),IF(AND(T138="Impacto",T139="Probabilidad"),(AC137-(+AC137*W139)),IF(T139="Impacto",AC138,""))),"")</f>
        <v/>
      </c>
      <c r="AB139" s="168" t="str">
        <f t="shared" si="117"/>
        <v/>
      </c>
      <c r="AC139" s="169" t="str">
        <f t="shared" si="118"/>
        <v/>
      </c>
      <c r="AD139" s="168" t="str">
        <f t="shared" si="119"/>
        <v/>
      </c>
      <c r="AE139" s="169" t="str">
        <f>IFERROR(IF(AND(T138="Impacto",T139="Impacto"),(AE138-(+AE138*W139)),IF(AND(T138="Probabilidad",T139="Impacto"),(AE137-(+AE137*W139)),IF(T139="Probabilidad",AE138,""))),"")</f>
        <v/>
      </c>
      <c r="AF139" s="170" t="str">
        <f t="shared" si="120"/>
        <v/>
      </c>
      <c r="AG139" s="171"/>
      <c r="AH139" s="172"/>
      <c r="AI139" s="172"/>
      <c r="AJ139" s="172"/>
      <c r="AK139" s="172"/>
      <c r="AL139" s="172"/>
      <c r="AM139" s="165"/>
      <c r="AN139" s="173"/>
      <c r="AO139" s="173"/>
      <c r="AP139" s="172"/>
      <c r="AQ139" s="165"/>
    </row>
    <row r="140" spans="1:43" x14ac:dyDescent="0.3">
      <c r="A140" s="313"/>
      <c r="B140" s="293"/>
      <c r="C140" s="293"/>
      <c r="D140" s="293"/>
      <c r="E140" s="293"/>
      <c r="F140" s="152"/>
      <c r="G140" s="282"/>
      <c r="H140" s="153"/>
      <c r="I140" s="293"/>
      <c r="J140" s="295"/>
      <c r="K140" s="288"/>
      <c r="L140" s="291"/>
      <c r="M140" s="303"/>
      <c r="N140" s="291">
        <f>IF(NOT(ISERROR(MATCH(M140,_xlfn.ANCHORARRAY(#REF!),0))),#REF!&amp;"Por favor no seleccionar los criterios de impacto",M140)</f>
        <v>0</v>
      </c>
      <c r="O140" s="288"/>
      <c r="P140" s="291"/>
      <c r="Q140" s="284"/>
      <c r="R140" s="163">
        <v>4</v>
      </c>
      <c r="S140" s="183"/>
      <c r="T140" s="164" t="str">
        <f t="shared" ref="T140:T142" si="121">IF(OR(U140="Preventivo",U140="Detectivo"),"Probabilidad",IF(U140="Correctivo","Impacto",""))</f>
        <v/>
      </c>
      <c r="U140" s="165"/>
      <c r="V140" s="165"/>
      <c r="W140" s="166" t="str">
        <f t="shared" si="116"/>
        <v/>
      </c>
      <c r="X140" s="165"/>
      <c r="Y140" s="165"/>
      <c r="Z140" s="165"/>
      <c r="AA140" s="167" t="str">
        <f>IFERROR(IF(AND(T139="Probabilidad",T140="Probabilidad"),(AC139-(+AC139*W140)),IF(AND(T139="Impacto",T140="Probabilidad"),(AC138-(+AC138*W140)),IF(T140="Impacto",AC139,""))),"")</f>
        <v/>
      </c>
      <c r="AB140" s="168" t="str">
        <f t="shared" si="117"/>
        <v/>
      </c>
      <c r="AC140" s="169" t="str">
        <f t="shared" si="118"/>
        <v/>
      </c>
      <c r="AD140" s="168" t="str">
        <f t="shared" si="119"/>
        <v/>
      </c>
      <c r="AE140" s="169" t="str">
        <f>IFERROR(IF(AND(T139="Impacto",T140="Impacto"),(AE139-(+AE139*W140)),IF(AND(T139="Probabilidad",T140="Impacto"),(AE138-(+AE138*W140)),IF(T140="Probabilidad",AE139,""))),"")</f>
        <v/>
      </c>
      <c r="AF140" s="170" t="str">
        <f>IFERROR(IF(OR(AND(AB140="Muy Baja",AD140="Leve"),AND(AB140="Muy Baja",AD140="Menor"),AND(AB140="Baja",AD140="Leve")),"Bajo",IF(OR(AND(AB140="Muy baja",AD140="Moderado"),AND(AB140="Baja",AD140="Menor"),AND(AB140="Baja",AD140="Moderado"),AND(AB140="Media",AD140="Leve"),AND(AB140="Media",AD140="Menor"),AND(AB140="Media",AD140="Moderado"),AND(AB140="Alta",AD140="Leve"),AND(AB140="Alta",AD140="Menor")),"Moderado",IF(OR(AND(AB140="Muy Baja",AD140="Mayor"),AND(AB140="Baja",AD140="Mayor"),AND(AB140="Media",AD140="Mayor"),AND(AB140="Alta",AD140="Moderado"),AND(AB140="Alta",AD140="Mayor"),AND(AB140="Muy Alta",AD140="Leve"),AND(AB140="Muy Alta",AD140="Menor"),AND(AB140="Muy Alta",AD140="Moderado"),AND(AB140="Muy Alta",AD140="Mayor")),"Alto",IF(OR(AND(AB140="Muy Baja",AD140="Catastrófico"),AND(AB140="Baja",AD140="Catastrófico"),AND(AB140="Media",AD140="Catastrófico"),AND(AB140="Alta",AD140="Catastrófico"),AND(AB140="Muy Alta",AD140="Catastrófico")),"Extremo","")))),"")</f>
        <v/>
      </c>
      <c r="AG140" s="171"/>
      <c r="AH140" s="172"/>
      <c r="AI140" s="172"/>
      <c r="AJ140" s="172"/>
      <c r="AK140" s="172"/>
      <c r="AL140" s="172"/>
      <c r="AM140" s="165"/>
      <c r="AN140" s="173"/>
      <c r="AO140" s="173"/>
      <c r="AP140" s="172"/>
      <c r="AQ140" s="165"/>
    </row>
    <row r="141" spans="1:43" x14ac:dyDescent="0.3">
      <c r="A141" s="313"/>
      <c r="B141" s="293"/>
      <c r="C141" s="293"/>
      <c r="D141" s="293"/>
      <c r="E141" s="293"/>
      <c r="F141" s="152"/>
      <c r="G141" s="282"/>
      <c r="H141" s="153"/>
      <c r="I141" s="293"/>
      <c r="J141" s="295"/>
      <c r="K141" s="288"/>
      <c r="L141" s="291"/>
      <c r="M141" s="303"/>
      <c r="N141" s="291">
        <f>IF(NOT(ISERROR(MATCH(M141,_xlfn.ANCHORARRAY(#REF!),0))),#REF!&amp;"Por favor no seleccionar los criterios de impacto",M141)</f>
        <v>0</v>
      </c>
      <c r="O141" s="288"/>
      <c r="P141" s="291"/>
      <c r="Q141" s="284"/>
      <c r="R141" s="163">
        <v>5</v>
      </c>
      <c r="S141" s="183"/>
      <c r="T141" s="164" t="str">
        <f t="shared" si="121"/>
        <v/>
      </c>
      <c r="U141" s="165"/>
      <c r="V141" s="165"/>
      <c r="W141" s="166" t="str">
        <f t="shared" si="116"/>
        <v/>
      </c>
      <c r="X141" s="165"/>
      <c r="Y141" s="165"/>
      <c r="Z141" s="165"/>
      <c r="AA141" s="167" t="str">
        <f>IFERROR(IF(AND(T140="Probabilidad",T141="Probabilidad"),(AC140-(+AC140*W141)),IF(AND(T140="Impacto",T141="Probabilidad"),(AC139-(+AC139*W141)),IF(T141="Impacto",AC140,""))),"")</f>
        <v/>
      </c>
      <c r="AB141" s="168" t="str">
        <f t="shared" si="117"/>
        <v/>
      </c>
      <c r="AC141" s="169" t="str">
        <f t="shared" si="118"/>
        <v/>
      </c>
      <c r="AD141" s="168" t="str">
        <f t="shared" si="119"/>
        <v/>
      </c>
      <c r="AE141" s="169" t="str">
        <f>IFERROR(IF(AND(T140="Impacto",T141="Impacto"),(AE140-(+AE140*W141)),IF(AND(T140="Probabilidad",T141="Impacto"),(AE139-(+AE139*W141)),IF(T141="Probabilidad",AE140,""))),"")</f>
        <v/>
      </c>
      <c r="AF141" s="170" t="str">
        <f t="shared" si="120"/>
        <v/>
      </c>
      <c r="AG141" s="171"/>
      <c r="AH141" s="172"/>
      <c r="AI141" s="172"/>
      <c r="AJ141" s="172"/>
      <c r="AK141" s="172"/>
      <c r="AL141" s="172"/>
      <c r="AM141" s="165"/>
      <c r="AN141" s="173"/>
      <c r="AO141" s="173"/>
      <c r="AP141" s="172"/>
      <c r="AQ141" s="165"/>
    </row>
    <row r="142" spans="1:43" x14ac:dyDescent="0.3">
      <c r="A142" s="314"/>
      <c r="B142" s="294"/>
      <c r="C142" s="294"/>
      <c r="D142" s="294"/>
      <c r="E142" s="294"/>
      <c r="F142" s="162"/>
      <c r="G142" s="298"/>
      <c r="H142" s="175"/>
      <c r="I142" s="294"/>
      <c r="J142" s="296"/>
      <c r="K142" s="289"/>
      <c r="L142" s="292"/>
      <c r="M142" s="304"/>
      <c r="N142" s="292">
        <f>IF(NOT(ISERROR(MATCH(M142,_xlfn.ANCHORARRAY(#REF!),0))),L149&amp;"Por favor no seleccionar los criterios de impacto",M142)</f>
        <v>0</v>
      </c>
      <c r="O142" s="289"/>
      <c r="P142" s="292"/>
      <c r="Q142" s="285"/>
      <c r="R142" s="163">
        <v>6</v>
      </c>
      <c r="S142" s="183"/>
      <c r="T142" s="164" t="str">
        <f t="shared" si="121"/>
        <v/>
      </c>
      <c r="U142" s="165"/>
      <c r="V142" s="165"/>
      <c r="W142" s="166" t="str">
        <f t="shared" si="116"/>
        <v/>
      </c>
      <c r="X142" s="165"/>
      <c r="Y142" s="165"/>
      <c r="Z142" s="165"/>
      <c r="AA142" s="167" t="str">
        <f>IFERROR(IF(AND(T141="Probabilidad",T142="Probabilidad"),(AC141-(+AC141*W142)),IF(AND(T141="Impacto",T142="Probabilidad"),(AC140-(+AC140*W142)),IF(T142="Impacto",AC141,""))),"")</f>
        <v/>
      </c>
      <c r="AB142" s="168" t="str">
        <f t="shared" si="117"/>
        <v/>
      </c>
      <c r="AC142" s="169" t="str">
        <f t="shared" si="118"/>
        <v/>
      </c>
      <c r="AD142" s="168" t="str">
        <f t="shared" si="119"/>
        <v/>
      </c>
      <c r="AE142" s="169" t="str">
        <f>IFERROR(IF(AND(T141="Impacto",T142="Impacto"),(AE141-(+AE141*W142)),IF(AND(T141="Probabilidad",T142="Impacto"),(AE140-(+AE140*W142)),IF(T142="Probabilidad",AE141,""))),"")</f>
        <v/>
      </c>
      <c r="AF142" s="170" t="str">
        <f t="shared" si="120"/>
        <v/>
      </c>
      <c r="AG142" s="171"/>
      <c r="AH142" s="172"/>
      <c r="AI142" s="172"/>
      <c r="AJ142" s="172"/>
      <c r="AK142" s="172"/>
      <c r="AL142" s="172"/>
      <c r="AM142" s="165"/>
      <c r="AN142" s="173"/>
      <c r="AO142" s="173"/>
      <c r="AP142" s="172"/>
      <c r="AQ142" s="165"/>
    </row>
    <row r="143" spans="1:43" ht="57" x14ac:dyDescent="0.3">
      <c r="A143" s="312">
        <v>2</v>
      </c>
      <c r="B143" s="311" t="s">
        <v>127</v>
      </c>
      <c r="C143" s="311" t="s">
        <v>247</v>
      </c>
      <c r="D143" s="311" t="s">
        <v>248</v>
      </c>
      <c r="E143" s="311" t="s">
        <v>277</v>
      </c>
      <c r="F143" s="185" t="s">
        <v>488</v>
      </c>
      <c r="G143" s="281" t="s">
        <v>489</v>
      </c>
      <c r="H143" s="187" t="s">
        <v>490</v>
      </c>
      <c r="I143" s="311" t="s">
        <v>120</v>
      </c>
      <c r="J143" s="308">
        <v>12</v>
      </c>
      <c r="K143" s="287" t="str">
        <f>IF(J143&lt;=0,"",IF(J143&lt;=2,"Muy Baja",IF(J143&lt;=24,"Baja",IF(J143&lt;=500,"Media",IF(J143&lt;=5000,"Alta","Muy Alta")))))</f>
        <v>Baja</v>
      </c>
      <c r="L143" s="290">
        <f>IF(K143="","",IF(K143="Muy Baja",0.2,IF(K143="Baja",0.4,IF(K143="Media",0.6,IF(K143="Alta",0.8,IF(K143="Muy Alta",1,))))))</f>
        <v>0.4</v>
      </c>
      <c r="M143" s="305" t="s">
        <v>149</v>
      </c>
      <c r="N143" s="316" t="str">
        <f>IF(NOT(ISERROR(MATCH(M143,'[4]Tabla Impacto'!$B$221:$B$223,0))),'[4]Tabla Impacto'!$F$223&amp;"Por favor no seleccionar los criterios de impacto(Afectación Económica o presupuestal y Pérdida Reputacional)",M143)</f>
        <v xml:space="preserve">     El riesgo afecta la imagen de de la entidad con efecto publicitario sostenido a nivel de sector administrativo, nivel departamental o municipal</v>
      </c>
      <c r="O143" s="287" t="str">
        <f>IF(OR(N143='[4]Tabla Impacto'!$C$11,N143='[4]Tabla Impacto'!$D$11),"Leve",IF(OR(N143='[4]Tabla Impacto'!$C$12,N143='[4]Tabla Impacto'!$D$12),"Menor",IF(OR(N143='[4]Tabla Impacto'!$C$13,N143='[4]Tabla Impacto'!$D$13),"Moderado",IF(OR(N143='[4]Tabla Impacto'!$C$14,N143='[4]Tabla Impacto'!$D$14),"Mayor",IF(OR(N143='[4]Tabla Impacto'!$C$15,N143='[4]Tabla Impacto'!$D$15),"Catastrófico","")))))</f>
        <v>Mayor</v>
      </c>
      <c r="P143" s="290">
        <f>IF(O143="","",IF(O143="Leve",0.2,IF(O143="Menor",0.4,IF(O143="Moderado",0.6,IF(O143="Mayor",0.8,IF(O143="Catastrófico",1,))))))</f>
        <v>0.8</v>
      </c>
      <c r="Q143" s="283" t="str">
        <f>IF(OR(AND(K143="Muy Baja",O143="Leve"),AND(K143="Muy Baja",O143="Menor"),AND(K143="Baja",O143="Leve")),"Bajo",IF(OR(AND(K143="Muy baja",O143="Moderado"),AND(K143="Baja",O143="Menor"),AND(K143="Baja",O143="Moderado"),AND(K143="Media",O143="Leve"),AND(K143="Media",O143="Menor"),AND(K143="Media",O143="Moderado"),AND(K143="Alta",O143="Leve"),AND(K143="Alta",O143="Menor")),"Moderado",IF(OR(AND(K143="Muy Baja",O143="Mayor"),AND(K143="Baja",O143="Mayor"),AND(K143="Media",O143="Mayor"),AND(K143="Alta",O143="Moderado"),AND(K143="Alta",O143="Mayor"),AND(K143="Muy Alta",O143="Leve"),AND(K143="Muy Alta",O143="Menor"),AND(K143="Muy Alta",O143="Moderado"),AND(K143="Muy Alta",O143="Mayor")),"Alto",IF(OR(AND(K143="Muy Baja",O143="Catastrófico"),AND(K143="Baja",O143="Catastrófico"),AND(K143="Media",O143="Catastrófico"),AND(K143="Alta",O143="Catastrófico"),AND(K143="Muy Alta",O143="Catastrófico")),"Extremo",""))))</f>
        <v>Alto</v>
      </c>
      <c r="R143" s="163">
        <v>1</v>
      </c>
      <c r="S143" s="197" t="s">
        <v>491</v>
      </c>
      <c r="T143" s="188" t="str">
        <f>IF(OR(U143="Preventivo",U143="Detectivo"),"Probabilidad",IF(U143="Correctivo","Impacto",""))</f>
        <v>Probabilidad</v>
      </c>
      <c r="U143" s="189" t="s">
        <v>13</v>
      </c>
      <c r="V143" s="189" t="s">
        <v>8</v>
      </c>
      <c r="W143" s="190" t="str">
        <f>IF(AND(U143="Preventivo",V143="Automático"),"50%",IF(AND(U143="Preventivo",V143="Manual"),"40%",IF(AND(U143="Detectivo",V143="Automático"),"40%",IF(AND(U143="Detectivo",V143="Manual"),"30%",IF(AND(U143="Correctivo",V143="Automático"),"35%",IF(AND(U143="Correctivo",V143="Manual"),"25%",""))))))</f>
        <v>40%</v>
      </c>
      <c r="X143" s="189" t="s">
        <v>18</v>
      </c>
      <c r="Y143" s="189" t="s">
        <v>21</v>
      </c>
      <c r="Z143" s="189" t="s">
        <v>116</v>
      </c>
      <c r="AA143" s="167">
        <f>IFERROR(IF(T143="Probabilidad",(L143-(+L143*W143)),IF(T143="Impacto",L143,"")),"")</f>
        <v>0.24</v>
      </c>
      <c r="AB143" s="191" t="str">
        <f>IFERROR(IF(AA143="","",IF(AA143&lt;=0.2,"Muy Baja",IF(AA143&lt;=0.4,"Baja",IF(AA143&lt;=0.6,"Media",IF(AA143&lt;=0.8,"Alta","Muy Alta"))))),"")</f>
        <v>Baja</v>
      </c>
      <c r="AC143" s="192">
        <f>+AA143</f>
        <v>0.24</v>
      </c>
      <c r="AD143" s="191" t="str">
        <f>IFERROR(IF(AE143="","",IF(AE143&lt;=0.2,"Leve",IF(AE143&lt;=0.4,"Menor",IF(AE143&lt;=0.6,"Moderado",IF(AE143&lt;=0.8,"Mayor","Catastrófico"))))),"")</f>
        <v>Mayor</v>
      </c>
      <c r="AE143" s="192">
        <f>IFERROR(IF(T143="Impacto",(P143-(+P143*W143)),IF(T143="Probabilidad",P143,"")),"")</f>
        <v>0.8</v>
      </c>
      <c r="AF143" s="193" t="str">
        <f>IFERROR(IF(OR(AND(AB143="Muy Baja",AD143="Leve"),AND(AB143="Muy Baja",AD143="Menor"),AND(AB143="Baja",AD143="Leve")),"Bajo",IF(OR(AND(AB143="Muy baja",AD143="Moderado"),AND(AB143="Baja",AD143="Menor"),AND(AB143="Baja",AD143="Moderado"),AND(AB143="Media",AD143="Leve"),AND(AB143="Media",AD143="Menor"),AND(AB143="Media",AD143="Moderado"),AND(AB143="Alta",AD143="Leve"),AND(AB143="Alta",AD143="Menor")),"Moderado",IF(OR(AND(AB143="Muy Baja",AD143="Mayor"),AND(AB143="Baja",AD143="Mayor"),AND(AB143="Media",AD143="Mayor"),AND(AB143="Alta",AD143="Moderado"),AND(AB143="Alta",AD143="Mayor"),AND(AB143="Muy Alta",AD143="Leve"),AND(AB143="Muy Alta",AD143="Menor"),AND(AB143="Muy Alta",AD143="Moderado"),AND(AB143="Muy Alta",AD143="Mayor")),"Alto",IF(OR(AND(AB143="Muy Baja",AD143="Catastrófico"),AND(AB143="Baja",AD143="Catastrófico"),AND(AB143="Media",AD143="Catastrófico"),AND(AB143="Alta",AD143="Catastrófico"),AND(AB143="Muy Alta",AD143="Catastrófico")),"Extremo","")))),"")</f>
        <v>Alto</v>
      </c>
      <c r="AG143" s="171" t="s">
        <v>131</v>
      </c>
      <c r="AH143" s="172" t="s">
        <v>492</v>
      </c>
      <c r="AI143" s="172" t="s">
        <v>306</v>
      </c>
      <c r="AJ143" s="172" t="s">
        <v>307</v>
      </c>
      <c r="AK143" s="172" t="s">
        <v>343</v>
      </c>
      <c r="AL143" s="172" t="s">
        <v>343</v>
      </c>
      <c r="AM143" s="172" t="s">
        <v>343</v>
      </c>
      <c r="AN143" s="172" t="s">
        <v>343</v>
      </c>
      <c r="AO143" s="172" t="s">
        <v>343</v>
      </c>
      <c r="AP143" s="172" t="s">
        <v>343</v>
      </c>
      <c r="AQ143" s="165" t="s">
        <v>39</v>
      </c>
    </row>
    <row r="144" spans="1:43" ht="42.75" x14ac:dyDescent="0.3">
      <c r="A144" s="313"/>
      <c r="B144" s="293"/>
      <c r="C144" s="293"/>
      <c r="D144" s="293"/>
      <c r="E144" s="293"/>
      <c r="F144" s="186" t="s">
        <v>493</v>
      </c>
      <c r="G144" s="282"/>
      <c r="H144" s="196" t="s">
        <v>494</v>
      </c>
      <c r="I144" s="293"/>
      <c r="J144" s="295"/>
      <c r="K144" s="288"/>
      <c r="L144" s="291"/>
      <c r="M144" s="303"/>
      <c r="N144" s="317">
        <f>IF(NOT(ISERROR(MATCH(M144,_xlfn.ANCHORARRAY(H149),0))),L151&amp;"Por favor no seleccionar los criterios de impacto",M144)</f>
        <v>0</v>
      </c>
      <c r="O144" s="288"/>
      <c r="P144" s="291"/>
      <c r="Q144" s="284"/>
      <c r="R144" s="163">
        <v>2</v>
      </c>
      <c r="S144" s="197" t="s">
        <v>495</v>
      </c>
      <c r="T144" s="188" t="str">
        <f>IF(OR(U144="Preventivo",U144="Detectivo"),"Probabilidad",IF(U144="Correctivo","Impacto",""))</f>
        <v>Probabilidad</v>
      </c>
      <c r="U144" s="189" t="s">
        <v>14</v>
      </c>
      <c r="V144" s="189" t="s">
        <v>8</v>
      </c>
      <c r="W144" s="190" t="str">
        <f t="shared" ref="W144:W148" si="122">IF(AND(U144="Preventivo",V144="Automático"),"50%",IF(AND(U144="Preventivo",V144="Manual"),"40%",IF(AND(U144="Detectivo",V144="Automático"),"40%",IF(AND(U144="Detectivo",V144="Manual"),"30%",IF(AND(U144="Correctivo",V144="Automático"),"35%",IF(AND(U144="Correctivo",V144="Manual"),"25%",""))))))</f>
        <v>30%</v>
      </c>
      <c r="X144" s="189" t="s">
        <v>18</v>
      </c>
      <c r="Y144" s="189" t="s">
        <v>21</v>
      </c>
      <c r="Z144" s="189" t="s">
        <v>116</v>
      </c>
      <c r="AA144" s="167">
        <f>IFERROR(IF(AND(T143="Probabilidad",T144="Probabilidad"),(AC143-(+AC143*W144)),IF(T144="Probabilidad",(L143-(+L143*W144)),IF(T144="Impacto",AC143,""))),"")</f>
        <v>0.16799999999999998</v>
      </c>
      <c r="AB144" s="191" t="str">
        <f t="shared" si="117"/>
        <v>Muy Baja</v>
      </c>
      <c r="AC144" s="192">
        <f t="shared" ref="AC144:AC148" si="123">+AA144</f>
        <v>0.16799999999999998</v>
      </c>
      <c r="AD144" s="191" t="str">
        <f t="shared" si="119"/>
        <v>Mayor</v>
      </c>
      <c r="AE144" s="192">
        <f>IFERROR(IF(AND(T143="Impacto",T144="Impacto"),(AE143-(+AE143*W144)),IF(T144="Impacto",(P143-(+P143*W144)),IF(T144="Probabilidad",AE143,""))),"")</f>
        <v>0.8</v>
      </c>
      <c r="AF144" s="193" t="str">
        <f t="shared" ref="AF144:AF145" si="124">IFERROR(IF(OR(AND(AB144="Muy Baja",AD144="Leve"),AND(AB144="Muy Baja",AD144="Menor"),AND(AB144="Baja",AD144="Leve")),"Bajo",IF(OR(AND(AB144="Muy baja",AD144="Moderado"),AND(AB144="Baja",AD144="Menor"),AND(AB144="Baja",AD144="Moderado"),AND(AB144="Media",AD144="Leve"),AND(AB144="Media",AD144="Menor"),AND(AB144="Media",AD144="Moderado"),AND(AB144="Alta",AD144="Leve"),AND(AB144="Alta",AD144="Menor")),"Moderado",IF(OR(AND(AB144="Muy Baja",AD144="Mayor"),AND(AB144="Baja",AD144="Mayor"),AND(AB144="Media",AD144="Mayor"),AND(AB144="Alta",AD144="Moderado"),AND(AB144="Alta",AD144="Mayor"),AND(AB144="Muy Alta",AD144="Leve"),AND(AB144="Muy Alta",AD144="Menor"),AND(AB144="Muy Alta",AD144="Moderado"),AND(AB144="Muy Alta",AD144="Mayor")),"Alto",IF(OR(AND(AB144="Muy Baja",AD144="Catastrófico"),AND(AB144="Baja",AD144="Catastrófico"),AND(AB144="Media",AD144="Catastrófico"),AND(AB144="Alta",AD144="Catastrófico"),AND(AB144="Muy Alta",AD144="Catastrófico")),"Extremo","")))),"")</f>
        <v>Alto</v>
      </c>
      <c r="AG144" s="171" t="s">
        <v>131</v>
      </c>
      <c r="AH144" s="172" t="s">
        <v>496</v>
      </c>
      <c r="AI144" s="172" t="s">
        <v>306</v>
      </c>
      <c r="AJ144" s="172" t="s">
        <v>307</v>
      </c>
      <c r="AK144" s="172" t="s">
        <v>343</v>
      </c>
      <c r="AL144" s="172" t="s">
        <v>343</v>
      </c>
      <c r="AM144" s="172" t="s">
        <v>343</v>
      </c>
      <c r="AN144" s="172" t="s">
        <v>343</v>
      </c>
      <c r="AO144" s="172" t="s">
        <v>343</v>
      </c>
      <c r="AP144" s="172" t="s">
        <v>343</v>
      </c>
      <c r="AQ144" s="165" t="s">
        <v>39</v>
      </c>
    </row>
    <row r="145" spans="1:43" ht="71.25" x14ac:dyDescent="0.3">
      <c r="A145" s="313"/>
      <c r="B145" s="293"/>
      <c r="C145" s="293"/>
      <c r="D145" s="293"/>
      <c r="E145" s="293"/>
      <c r="F145" s="184"/>
      <c r="G145" s="282"/>
      <c r="H145" s="153"/>
      <c r="I145" s="293"/>
      <c r="J145" s="295"/>
      <c r="K145" s="288"/>
      <c r="L145" s="291"/>
      <c r="M145" s="303"/>
      <c r="N145" s="317">
        <f>IF(NOT(ISERROR(MATCH(M145,_xlfn.ANCHORARRAY(H150),0))),L152&amp;"Por favor no seleccionar los criterios de impacto",M145)</f>
        <v>0</v>
      </c>
      <c r="O145" s="288"/>
      <c r="P145" s="291"/>
      <c r="Q145" s="284"/>
      <c r="R145" s="163">
        <v>3</v>
      </c>
      <c r="S145" s="174" t="s">
        <v>497</v>
      </c>
      <c r="T145" s="164" t="str">
        <f>IF(OR(U145="Preventivo",U145="Detectivo"),"Probabilidad",IF(U145="Correctivo","Impacto",""))</f>
        <v>Probabilidad</v>
      </c>
      <c r="U145" s="165" t="s">
        <v>14</v>
      </c>
      <c r="V145" s="165" t="s">
        <v>8</v>
      </c>
      <c r="W145" s="166" t="str">
        <f t="shared" si="122"/>
        <v>30%</v>
      </c>
      <c r="X145" s="165" t="s">
        <v>18</v>
      </c>
      <c r="Y145" s="165" t="s">
        <v>21</v>
      </c>
      <c r="Z145" s="165" t="s">
        <v>116</v>
      </c>
      <c r="AA145" s="167">
        <f>IFERROR(IF(AND(T144="Probabilidad",T145="Probabilidad"),(AC144-(+AC144*W145)),IF(AND(T144="Impacto",T145="Probabilidad"),(AC143-(+AC143*W145)),IF(T145="Impacto",AC144,""))),"")</f>
        <v>0.11759999999999998</v>
      </c>
      <c r="AB145" s="168" t="str">
        <f t="shared" si="117"/>
        <v>Muy Baja</v>
      </c>
      <c r="AC145" s="169">
        <f t="shared" si="123"/>
        <v>0.11759999999999998</v>
      </c>
      <c r="AD145" s="168" t="str">
        <f t="shared" si="119"/>
        <v>Mayor</v>
      </c>
      <c r="AE145" s="169">
        <f>IFERROR(IF(AND(T144="Impacto",T145="Impacto"),(AE144-(+AE144*W145)),IF(AND(T144="Probabilidad",T145="Impacto"),(AE143-(+AE143*W145)),IF(T145="Probabilidad",AE144,""))),"")</f>
        <v>0.8</v>
      </c>
      <c r="AF145" s="170" t="str">
        <f t="shared" si="124"/>
        <v>Alto</v>
      </c>
      <c r="AG145" s="171" t="s">
        <v>131</v>
      </c>
      <c r="AH145" s="172" t="s">
        <v>498</v>
      </c>
      <c r="AI145" s="172" t="s">
        <v>306</v>
      </c>
      <c r="AJ145" s="172" t="s">
        <v>307</v>
      </c>
      <c r="AK145" s="172" t="s">
        <v>343</v>
      </c>
      <c r="AL145" s="172" t="s">
        <v>343</v>
      </c>
      <c r="AM145" s="172" t="s">
        <v>343</v>
      </c>
      <c r="AN145" s="172" t="s">
        <v>343</v>
      </c>
      <c r="AO145" s="172" t="s">
        <v>343</v>
      </c>
      <c r="AP145" s="172" t="s">
        <v>343</v>
      </c>
      <c r="AQ145" s="165" t="s">
        <v>39</v>
      </c>
    </row>
    <row r="146" spans="1:43" x14ac:dyDescent="0.3">
      <c r="A146" s="313"/>
      <c r="B146" s="293"/>
      <c r="C146" s="293"/>
      <c r="D146" s="293"/>
      <c r="E146" s="293"/>
      <c r="F146" s="152"/>
      <c r="G146" s="282"/>
      <c r="H146" s="153"/>
      <c r="I146" s="293"/>
      <c r="J146" s="295"/>
      <c r="K146" s="288"/>
      <c r="L146" s="291"/>
      <c r="M146" s="303"/>
      <c r="N146" s="317">
        <f>IF(NOT(ISERROR(MATCH(M146,_xlfn.ANCHORARRAY(H151),0))),L153&amp;"Por favor no seleccionar los criterios de impacto",M146)</f>
        <v>0</v>
      </c>
      <c r="O146" s="288"/>
      <c r="P146" s="291"/>
      <c r="Q146" s="284"/>
      <c r="R146" s="163">
        <v>4</v>
      </c>
      <c r="S146" s="183"/>
      <c r="T146" s="164" t="str">
        <f t="shared" ref="T146:T148" si="125">IF(OR(U146="Preventivo",U146="Detectivo"),"Probabilidad",IF(U146="Correctivo","Impacto",""))</f>
        <v/>
      </c>
      <c r="U146" s="165"/>
      <c r="V146" s="165"/>
      <c r="W146" s="166" t="str">
        <f t="shared" si="122"/>
        <v/>
      </c>
      <c r="X146" s="165"/>
      <c r="Y146" s="165"/>
      <c r="Z146" s="165"/>
      <c r="AA146" s="167" t="str">
        <f t="shared" ref="AA146:AA150" si="126">IFERROR(IF(AND(T145="Probabilidad",T146="Probabilidad"),(AC145-(+AC145*W146)),IF(AND(T145="Impacto",T146="Probabilidad"),(AC144-(+AC144*W146)),IF(T146="Impacto",AC145,""))),"")</f>
        <v/>
      </c>
      <c r="AB146" s="168" t="str">
        <f t="shared" si="117"/>
        <v/>
      </c>
      <c r="AC146" s="169" t="str">
        <f t="shared" si="123"/>
        <v/>
      </c>
      <c r="AD146" s="168" t="str">
        <f t="shared" si="119"/>
        <v/>
      </c>
      <c r="AE146" s="169" t="str">
        <f>IFERROR(IF(AND(T145="Impacto",T146="Impacto"),(AE145-(+AE145*W146)),IF(AND(T145="Probabilidad",T146="Impacto"),(AE144-(+AE144*W146)),IF(T146="Probabilidad",AE145,""))),"")</f>
        <v/>
      </c>
      <c r="AF146" s="170" t="str">
        <f>IFERROR(IF(OR(AND(AB146="Muy Baja",AD146="Leve"),AND(AB146="Muy Baja",AD146="Menor"),AND(AB146="Baja",AD146="Leve")),"Bajo",IF(OR(AND(AB146="Muy baja",AD146="Moderado"),AND(AB146="Baja",AD146="Menor"),AND(AB146="Baja",AD146="Moderado"),AND(AB146="Media",AD146="Leve"),AND(AB146="Media",AD146="Menor"),AND(AB146="Media",AD146="Moderado"),AND(AB146="Alta",AD146="Leve"),AND(AB146="Alta",AD146="Menor")),"Moderado",IF(OR(AND(AB146="Muy Baja",AD146="Mayor"),AND(AB146="Baja",AD146="Mayor"),AND(AB146="Media",AD146="Mayor"),AND(AB146="Alta",AD146="Moderado"),AND(AB146="Alta",AD146="Mayor"),AND(AB146="Muy Alta",AD146="Leve"),AND(AB146="Muy Alta",AD146="Menor"),AND(AB146="Muy Alta",AD146="Moderado"),AND(AB146="Muy Alta",AD146="Mayor")),"Alto",IF(OR(AND(AB146="Muy Baja",AD146="Catastrófico"),AND(AB146="Baja",AD146="Catastrófico"),AND(AB146="Media",AD146="Catastrófico"),AND(AB146="Alta",AD146="Catastrófico"),AND(AB146="Muy Alta",AD146="Catastrófico")),"Extremo","")))),"")</f>
        <v/>
      </c>
      <c r="AG146" s="171"/>
      <c r="AH146" s="172"/>
      <c r="AI146" s="172"/>
      <c r="AJ146" s="172"/>
      <c r="AK146" s="172"/>
      <c r="AL146" s="172"/>
      <c r="AM146" s="165"/>
      <c r="AN146" s="173"/>
      <c r="AO146" s="173"/>
      <c r="AP146" s="172"/>
      <c r="AQ146" s="165"/>
    </row>
    <row r="147" spans="1:43" x14ac:dyDescent="0.3">
      <c r="A147" s="313"/>
      <c r="B147" s="293"/>
      <c r="C147" s="293"/>
      <c r="D147" s="293"/>
      <c r="E147" s="293"/>
      <c r="F147" s="152"/>
      <c r="G147" s="282"/>
      <c r="H147" s="153"/>
      <c r="I147" s="293"/>
      <c r="J147" s="295"/>
      <c r="K147" s="288"/>
      <c r="L147" s="291"/>
      <c r="M147" s="303"/>
      <c r="N147" s="317">
        <f>IF(NOT(ISERROR(MATCH(M147,_xlfn.ANCHORARRAY(H152),0))),L154&amp;"Por favor no seleccionar los criterios de impacto",M147)</f>
        <v>0</v>
      </c>
      <c r="O147" s="288"/>
      <c r="P147" s="291"/>
      <c r="Q147" s="284"/>
      <c r="R147" s="163">
        <v>5</v>
      </c>
      <c r="S147" s="183"/>
      <c r="T147" s="164" t="str">
        <f t="shared" si="125"/>
        <v/>
      </c>
      <c r="U147" s="165"/>
      <c r="V147" s="165"/>
      <c r="W147" s="166" t="str">
        <f t="shared" si="122"/>
        <v/>
      </c>
      <c r="X147" s="165"/>
      <c r="Y147" s="165"/>
      <c r="Z147" s="165"/>
      <c r="AA147" s="167" t="str">
        <f t="shared" si="126"/>
        <v/>
      </c>
      <c r="AB147" s="168" t="str">
        <f t="shared" si="117"/>
        <v/>
      </c>
      <c r="AC147" s="169" t="str">
        <f t="shared" si="123"/>
        <v/>
      </c>
      <c r="AD147" s="168" t="str">
        <f t="shared" si="119"/>
        <v/>
      </c>
      <c r="AE147" s="169" t="str">
        <f>IFERROR(IF(AND(T146="Impacto",T147="Impacto"),(AE146-(+AE146*W147)),IF(AND(T146="Probabilidad",T147="Impacto"),(AE145-(+AE145*W147)),IF(T147="Probabilidad",AE146,""))),"")</f>
        <v/>
      </c>
      <c r="AF147" s="170" t="str">
        <f t="shared" ref="AF147:AF148" si="127">IFERROR(IF(OR(AND(AB147="Muy Baja",AD147="Leve"),AND(AB147="Muy Baja",AD147="Menor"),AND(AB147="Baja",AD147="Leve")),"Bajo",IF(OR(AND(AB147="Muy baja",AD147="Moderado"),AND(AB147="Baja",AD147="Menor"),AND(AB147="Baja",AD147="Moderado"),AND(AB147="Media",AD147="Leve"),AND(AB147="Media",AD147="Menor"),AND(AB147="Media",AD147="Moderado"),AND(AB147="Alta",AD147="Leve"),AND(AB147="Alta",AD147="Menor")),"Moderado",IF(OR(AND(AB147="Muy Baja",AD147="Mayor"),AND(AB147="Baja",AD147="Mayor"),AND(AB147="Media",AD147="Mayor"),AND(AB147="Alta",AD147="Moderado"),AND(AB147="Alta",AD147="Mayor"),AND(AB147="Muy Alta",AD147="Leve"),AND(AB147="Muy Alta",AD147="Menor"),AND(AB147="Muy Alta",AD147="Moderado"),AND(AB147="Muy Alta",AD147="Mayor")),"Alto",IF(OR(AND(AB147="Muy Baja",AD147="Catastrófico"),AND(AB147="Baja",AD147="Catastrófico"),AND(AB147="Media",AD147="Catastrófico"),AND(AB147="Alta",AD147="Catastrófico"),AND(AB147="Muy Alta",AD147="Catastrófico")),"Extremo","")))),"")</f>
        <v/>
      </c>
      <c r="AG147" s="171"/>
      <c r="AH147" s="172"/>
      <c r="AI147" s="172"/>
      <c r="AJ147" s="172"/>
      <c r="AK147" s="172"/>
      <c r="AL147" s="172"/>
      <c r="AM147" s="165"/>
      <c r="AN147" s="173"/>
      <c r="AO147" s="173"/>
      <c r="AP147" s="172"/>
      <c r="AQ147" s="165"/>
    </row>
    <row r="148" spans="1:43" x14ac:dyDescent="0.3">
      <c r="A148" s="314"/>
      <c r="B148" s="294"/>
      <c r="C148" s="294"/>
      <c r="D148" s="294"/>
      <c r="E148" s="294"/>
      <c r="F148" s="162"/>
      <c r="G148" s="298"/>
      <c r="H148" s="175"/>
      <c r="I148" s="294"/>
      <c r="J148" s="296"/>
      <c r="K148" s="289"/>
      <c r="L148" s="292"/>
      <c r="M148" s="304"/>
      <c r="N148" s="318">
        <f>IF(NOT(ISERROR(MATCH(M148,_xlfn.ANCHORARRAY(H153),0))),L155&amp;"Por favor no seleccionar los criterios de impacto",M148)</f>
        <v>0</v>
      </c>
      <c r="O148" s="289"/>
      <c r="P148" s="292"/>
      <c r="Q148" s="285"/>
      <c r="R148" s="163">
        <v>6</v>
      </c>
      <c r="S148" s="183"/>
      <c r="T148" s="164" t="str">
        <f t="shared" si="125"/>
        <v/>
      </c>
      <c r="U148" s="165"/>
      <c r="V148" s="165"/>
      <c r="W148" s="166" t="str">
        <f t="shared" si="122"/>
        <v/>
      </c>
      <c r="X148" s="165"/>
      <c r="Y148" s="165"/>
      <c r="Z148" s="165"/>
      <c r="AA148" s="167" t="str">
        <f t="shared" si="126"/>
        <v/>
      </c>
      <c r="AB148" s="168" t="str">
        <f t="shared" si="117"/>
        <v/>
      </c>
      <c r="AC148" s="169" t="str">
        <f t="shared" si="123"/>
        <v/>
      </c>
      <c r="AD148" s="168" t="str">
        <f t="shared" si="119"/>
        <v/>
      </c>
      <c r="AE148" s="169" t="str">
        <f>IFERROR(IF(AND(T147="Impacto",T148="Impacto"),(AE147-(+AE147*W148)),IF(AND(T147="Probabilidad",T148="Impacto"),(AE146-(+AE146*W148)),IF(T148="Probabilidad",AE147,""))),"")</f>
        <v/>
      </c>
      <c r="AF148" s="170" t="str">
        <f t="shared" si="127"/>
        <v/>
      </c>
      <c r="AG148" s="171"/>
      <c r="AH148" s="172"/>
      <c r="AI148" s="172"/>
      <c r="AJ148" s="172"/>
      <c r="AK148" s="172"/>
      <c r="AL148" s="172"/>
      <c r="AM148" s="165"/>
      <c r="AN148" s="173"/>
      <c r="AO148" s="173"/>
      <c r="AP148" s="172"/>
      <c r="AQ148" s="165"/>
    </row>
    <row r="149" spans="1:43" ht="71.25" x14ac:dyDescent="0.3">
      <c r="A149" s="312">
        <v>3</v>
      </c>
      <c r="B149" s="311" t="s">
        <v>127</v>
      </c>
      <c r="C149" s="311" t="s">
        <v>245</v>
      </c>
      <c r="D149" s="311" t="s">
        <v>249</v>
      </c>
      <c r="E149" s="311" t="s">
        <v>261</v>
      </c>
      <c r="F149" s="184" t="s">
        <v>499</v>
      </c>
      <c r="G149" s="281" t="s">
        <v>500</v>
      </c>
      <c r="H149" s="196" t="s">
        <v>501</v>
      </c>
      <c r="I149" s="311" t="s">
        <v>120</v>
      </c>
      <c r="J149" s="308">
        <v>2</v>
      </c>
      <c r="K149" s="287" t="str">
        <f>IF(J149&lt;=0,"",IF(J149&lt;=2,"Muy Baja",IF(J149&lt;=24,"Baja",IF(J149&lt;=500,"Media",IF(J149&lt;=5000,"Alta","Muy Alta")))))</f>
        <v>Muy Baja</v>
      </c>
      <c r="L149" s="290">
        <f>IF(K149="","",IF(K149="Muy Baja",0.2,IF(K149="Baja",0.4,IF(K149="Media",0.6,IF(K149="Alta",0.8,IF(K149="Muy Alta",1,))))))</f>
        <v>0.2</v>
      </c>
      <c r="M149" s="305" t="s">
        <v>148</v>
      </c>
      <c r="N149" s="316" t="str">
        <f>IF(NOT(ISERROR(MATCH(M149,'[4]Tabla Impacto'!$B$221:$B$223,0))),'[4]Tabla Impacto'!$F$223&amp;"Por favor no seleccionar los criterios de impacto(Afectación Económica o presupuestal y Pérdida Reputacional)",M149)</f>
        <v xml:space="preserve">     El riesgo afecta la imagen de la entidad con algunos usuarios de relevancia frente al logro de los objetivos</v>
      </c>
      <c r="O149" s="287" t="str">
        <f>IF(OR(N149='[4]Tabla Impacto'!$C$11,N149='[4]Tabla Impacto'!$D$11),"Leve",IF(OR(N149='[4]Tabla Impacto'!$C$12,N149='[4]Tabla Impacto'!$D$12),"Menor",IF(OR(N149='[4]Tabla Impacto'!$C$13,N149='[4]Tabla Impacto'!$D$13),"Moderado",IF(OR(N149='[4]Tabla Impacto'!$C$14,N149='[4]Tabla Impacto'!$D$14),"Mayor",IF(OR(N149='[4]Tabla Impacto'!$C$15,N149='[4]Tabla Impacto'!$D$15),"Catastrófico","")))))</f>
        <v>Moderado</v>
      </c>
      <c r="P149" s="290">
        <f>IF(O149="","",IF(O149="Leve",0.2,IF(O149="Menor",0.4,IF(O149="Moderado",0.6,IF(O149="Mayor",0.8,IF(O149="Catastrófico",1,))))))</f>
        <v>0.6</v>
      </c>
      <c r="Q149" s="283" t="str">
        <f>IF(OR(AND(K149="Muy Baja",O149="Leve"),AND(K149="Muy Baja",O149="Menor"),AND(K149="Baja",O149="Leve")),"Bajo",IF(OR(AND(K149="Muy baja",O149="Moderado"),AND(K149="Baja",O149="Menor"),AND(K149="Baja",O149="Moderado"),AND(K149="Media",O149="Leve"),AND(K149="Media",O149="Menor"),AND(K149="Media",O149="Moderado"),AND(K149="Alta",O149="Leve"),AND(K149="Alta",O149="Menor")),"Moderado",IF(OR(AND(K149="Muy Baja",O149="Mayor"),AND(K149="Baja",O149="Mayor"),AND(K149="Media",O149="Mayor"),AND(K149="Alta",O149="Moderado"),AND(K149="Alta",O149="Mayor"),AND(K149="Muy Alta",O149="Leve"),AND(K149="Muy Alta",O149="Menor"),AND(K149="Muy Alta",O149="Moderado"),AND(K149="Muy Alta",O149="Mayor")),"Alto",IF(OR(AND(K149="Muy Baja",O149="Catastrófico"),AND(K149="Baja",O149="Catastrófico"),AND(K149="Media",O149="Catastrófico"),AND(K149="Alta",O149="Catastrófico"),AND(K149="Muy Alta",O149="Catastrófico")),"Extremo",""))))</f>
        <v>Moderado</v>
      </c>
      <c r="R149" s="163">
        <v>1</v>
      </c>
      <c r="S149" s="197" t="s">
        <v>502</v>
      </c>
      <c r="T149" s="164" t="str">
        <f>IF(OR(U149="Preventivo",U149="Detectivo"),"Probabilidad",IF(U149="Correctivo","Impacto",""))</f>
        <v>Probabilidad</v>
      </c>
      <c r="U149" s="165" t="s">
        <v>14</v>
      </c>
      <c r="V149" s="165" t="s">
        <v>8</v>
      </c>
      <c r="W149" s="166" t="str">
        <f>IF(AND(U149="Preventivo",V149="Automático"),"50%",IF(AND(U149="Preventivo",V149="Manual"),"40%",IF(AND(U149="Detectivo",V149="Automático"),"40%",IF(AND(U149="Detectivo",V149="Manual"),"30%",IF(AND(U149="Correctivo",V149="Automático"),"35%",IF(AND(U149="Correctivo",V149="Manual"),"25%",""))))))</f>
        <v>30%</v>
      </c>
      <c r="X149" s="165" t="s">
        <v>18</v>
      </c>
      <c r="Y149" s="165" t="s">
        <v>21</v>
      </c>
      <c r="Z149" s="165" t="s">
        <v>116</v>
      </c>
      <c r="AA149" s="167">
        <v>0.11759999999999998</v>
      </c>
      <c r="AB149" s="168" t="str">
        <f>IFERROR(IF(AA149="","",IF(AA149&lt;=0.2,"Muy Baja",IF(AA149&lt;=0.4,"Baja",IF(AA149&lt;=0.6,"Media",IF(AA149&lt;=0.8,"Alta","Muy Alta"))))),"")</f>
        <v>Muy Baja</v>
      </c>
      <c r="AC149" s="169">
        <f>+AA149</f>
        <v>0.11759999999999998</v>
      </c>
      <c r="AD149" s="168" t="str">
        <f>IFERROR(IF(AE149="","",IF(AE149&lt;=0.2,"Leve",IF(AE149&lt;=0.4,"Menor",IF(AE149&lt;=0.6,"Moderado",IF(AE149&lt;=0.8,"Mayor","Catastrófico"))))),"")</f>
        <v>Moderado</v>
      </c>
      <c r="AE149" s="169">
        <f>IFERROR(IF(T149="Impacto",(P149-(+P149*W149)),IF(T149="Probabilidad",P149,"")),"")</f>
        <v>0.6</v>
      </c>
      <c r="AF149" s="170" t="str">
        <f>IFERROR(IF(OR(AND(AB149="Muy Baja",AD149="Leve"),AND(AB149="Muy Baja",AD149="Menor"),AND(AB149="Baja",AD149="Leve")),"Bajo",IF(OR(AND(AB149="Muy baja",AD149="Moderado"),AND(AB149="Baja",AD149="Menor"),AND(AB149="Baja",AD149="Moderado"),AND(AB149="Media",AD149="Leve"),AND(AB149="Media",AD149="Menor"),AND(AB149="Media",AD149="Moderado"),AND(AB149="Alta",AD149="Leve"),AND(AB149="Alta",AD149="Menor")),"Moderado",IF(OR(AND(AB149="Muy Baja",AD149="Mayor"),AND(AB149="Baja",AD149="Mayor"),AND(AB149="Media",AD149="Mayor"),AND(AB149="Alta",AD149="Moderado"),AND(AB149="Alta",AD149="Mayor"),AND(AB149="Muy Alta",AD149="Leve"),AND(AB149="Muy Alta",AD149="Menor"),AND(AB149="Muy Alta",AD149="Moderado"),AND(AB149="Muy Alta",AD149="Mayor")),"Alto",IF(OR(AND(AB149="Muy Baja",AD149="Catastrófico"),AND(AB149="Baja",AD149="Catastrófico"),AND(AB149="Media",AD149="Catastrófico"),AND(AB149="Alta",AD149="Catastrófico"),AND(AB149="Muy Alta",AD149="Catastrófico")),"Extremo","")))),"")</f>
        <v>Moderado</v>
      </c>
      <c r="AG149" s="279" t="s">
        <v>131</v>
      </c>
      <c r="AH149" s="172" t="s">
        <v>503</v>
      </c>
      <c r="AI149" s="172" t="s">
        <v>306</v>
      </c>
      <c r="AJ149" s="172" t="s">
        <v>307</v>
      </c>
      <c r="AK149" s="172" t="s">
        <v>343</v>
      </c>
      <c r="AL149" s="172" t="s">
        <v>343</v>
      </c>
      <c r="AM149" s="172" t="s">
        <v>343</v>
      </c>
      <c r="AN149" s="172" t="s">
        <v>343</v>
      </c>
      <c r="AO149" s="172" t="s">
        <v>343</v>
      </c>
      <c r="AP149" s="172" t="s">
        <v>343</v>
      </c>
      <c r="AQ149" s="165" t="s">
        <v>39</v>
      </c>
    </row>
    <row r="150" spans="1:43" x14ac:dyDescent="0.3">
      <c r="A150" s="313"/>
      <c r="B150" s="293"/>
      <c r="C150" s="293"/>
      <c r="D150" s="293"/>
      <c r="E150" s="293"/>
      <c r="F150" s="152"/>
      <c r="G150" s="282"/>
      <c r="H150" s="196"/>
      <c r="I150" s="293"/>
      <c r="J150" s="295"/>
      <c r="K150" s="288"/>
      <c r="L150" s="291"/>
      <c r="M150" s="303"/>
      <c r="N150" s="317">
        <f t="shared" ref="N150:N154" si="128">IF(NOT(ISERROR(MATCH(M150,_xlfn.ANCHORARRAY(H161),0))),L163&amp;"Por favor no seleccionar los criterios de impacto",M150)</f>
        <v>0</v>
      </c>
      <c r="O150" s="288"/>
      <c r="P150" s="291"/>
      <c r="Q150" s="284"/>
      <c r="R150" s="163">
        <v>2</v>
      </c>
      <c r="S150" s="197" t="s">
        <v>504</v>
      </c>
      <c r="T150" s="164" t="str">
        <f>IF(OR(U150="Preventivo",U150="Detectivo"),"Probabilidad",IF(U150="Correctivo","Impacto",""))</f>
        <v>Probabilidad</v>
      </c>
      <c r="U150" s="165" t="s">
        <v>14</v>
      </c>
      <c r="V150" s="165" t="s">
        <v>8</v>
      </c>
      <c r="W150" s="166" t="str">
        <f t="shared" ref="W150:W154" si="129">IF(AND(U150="Preventivo",V150="Automático"),"50%",IF(AND(U150="Preventivo",V150="Manual"),"40%",IF(AND(U150="Detectivo",V150="Automático"),"40%",IF(AND(U150="Detectivo",V150="Manual"),"30%",IF(AND(U150="Correctivo",V150="Automático"),"35%",IF(AND(U150="Correctivo",V150="Manual"),"25%",""))))))</f>
        <v>30%</v>
      </c>
      <c r="X150" s="165" t="s">
        <v>18</v>
      </c>
      <c r="Y150" s="165" t="s">
        <v>22</v>
      </c>
      <c r="Z150" s="165" t="s">
        <v>116</v>
      </c>
      <c r="AA150" s="167">
        <f t="shared" si="126"/>
        <v>8.231999999999999E-2</v>
      </c>
      <c r="AB150" s="168" t="str">
        <f t="shared" si="117"/>
        <v>Muy Baja</v>
      </c>
      <c r="AC150" s="169">
        <f t="shared" ref="AC150:AC154" si="130">+AA150</f>
        <v>8.231999999999999E-2</v>
      </c>
      <c r="AD150" s="168" t="str">
        <f t="shared" si="119"/>
        <v>Moderado</v>
      </c>
      <c r="AE150" s="169">
        <f>IFERROR(IF(AND(T149="Impacto",T150="Impacto"),(AE149-(+AE149*W150)),IF(T150="Impacto",(P149-(+P149*W150)),IF(T150="Probabilidad",AE149,""))),"")</f>
        <v>0.6</v>
      </c>
      <c r="AF150" s="170" t="str">
        <f t="shared" ref="AF150:AF151" si="131">IFERROR(IF(OR(AND(AB150="Muy Baja",AD150="Leve"),AND(AB150="Muy Baja",AD150="Menor"),AND(AB150="Baja",AD150="Leve")),"Bajo",IF(OR(AND(AB150="Muy baja",AD150="Moderado"),AND(AB150="Baja",AD150="Menor"),AND(AB150="Baja",AD150="Moderado"),AND(AB150="Media",AD150="Leve"),AND(AB150="Media",AD150="Menor"),AND(AB150="Media",AD150="Moderado"),AND(AB150="Alta",AD150="Leve"),AND(AB150="Alta",AD150="Menor")),"Moderado",IF(OR(AND(AB150="Muy Baja",AD150="Mayor"),AND(AB150="Baja",AD150="Mayor"),AND(AB150="Media",AD150="Mayor"),AND(AB150="Alta",AD150="Moderado"),AND(AB150="Alta",AD150="Mayor"),AND(AB150="Muy Alta",AD150="Leve"),AND(AB150="Muy Alta",AD150="Menor"),AND(AB150="Muy Alta",AD150="Moderado"),AND(AB150="Muy Alta",AD150="Mayor")),"Alto",IF(OR(AND(AB150="Muy Baja",AD150="Catastrófico"),AND(AB150="Baja",AD150="Catastrófico"),AND(AB150="Media",AD150="Catastrófico"),AND(AB150="Alta",AD150="Catastrófico"),AND(AB150="Muy Alta",AD150="Catastrófico")),"Extremo","")))),"")</f>
        <v>Moderado</v>
      </c>
      <c r="AG150" s="280"/>
      <c r="AH150" s="172"/>
      <c r="AI150" s="172"/>
      <c r="AJ150" s="172"/>
      <c r="AK150" s="172"/>
      <c r="AL150" s="172"/>
      <c r="AM150" s="165"/>
      <c r="AN150" s="173"/>
      <c r="AO150" s="173"/>
      <c r="AP150" s="172"/>
      <c r="AQ150" s="165"/>
    </row>
    <row r="151" spans="1:43" x14ac:dyDescent="0.3">
      <c r="A151" s="313"/>
      <c r="B151" s="293"/>
      <c r="C151" s="293"/>
      <c r="D151" s="293"/>
      <c r="E151" s="293"/>
      <c r="F151" s="152"/>
      <c r="G151" s="282"/>
      <c r="H151" s="153"/>
      <c r="I151" s="293"/>
      <c r="J151" s="295"/>
      <c r="K151" s="288"/>
      <c r="L151" s="291"/>
      <c r="M151" s="303"/>
      <c r="N151" s="317">
        <f t="shared" si="128"/>
        <v>0</v>
      </c>
      <c r="O151" s="288"/>
      <c r="P151" s="291"/>
      <c r="Q151" s="284"/>
      <c r="R151" s="163">
        <v>3</v>
      </c>
      <c r="S151" s="174"/>
      <c r="T151" s="164" t="str">
        <f>IF(OR(U151="Preventivo",U151="Detectivo"),"Probabilidad",IF(U151="Correctivo","Impacto",""))</f>
        <v/>
      </c>
      <c r="U151" s="165"/>
      <c r="V151" s="165"/>
      <c r="W151" s="166" t="str">
        <f t="shared" si="129"/>
        <v/>
      </c>
      <c r="X151" s="165"/>
      <c r="Y151" s="165"/>
      <c r="Z151" s="165"/>
      <c r="AA151" s="167" t="str">
        <f>IFERROR(IF(AND(T150="Probabilidad",T151="Probabilidad"),(AC150-(+AC150*W151)),IF(AND(T150="Impacto",T151="Probabilidad"),(AC149-(+AC149*W151)),IF(T151="Impacto",AC150,""))),"")</f>
        <v/>
      </c>
      <c r="AB151" s="168" t="str">
        <f t="shared" si="117"/>
        <v/>
      </c>
      <c r="AC151" s="169" t="str">
        <f t="shared" si="130"/>
        <v/>
      </c>
      <c r="AD151" s="168" t="str">
        <f t="shared" si="119"/>
        <v/>
      </c>
      <c r="AE151" s="169" t="str">
        <f>IFERROR(IF(AND(T150="Impacto",T151="Impacto"),(AE150-(+AE150*W151)),IF(AND(T150="Probabilidad",T151="Impacto"),(AE149-(+AE149*W151)),IF(T151="Probabilidad",AE150,""))),"")</f>
        <v/>
      </c>
      <c r="AF151" s="170" t="str">
        <f t="shared" si="131"/>
        <v/>
      </c>
      <c r="AG151" s="171"/>
      <c r="AH151" s="172"/>
      <c r="AI151" s="172"/>
      <c r="AJ151" s="172"/>
      <c r="AK151" s="172"/>
      <c r="AL151" s="172"/>
      <c r="AM151" s="165"/>
      <c r="AN151" s="173"/>
      <c r="AO151" s="173"/>
      <c r="AP151" s="172"/>
      <c r="AQ151" s="165"/>
    </row>
    <row r="152" spans="1:43" x14ac:dyDescent="0.3">
      <c r="A152" s="313"/>
      <c r="B152" s="293"/>
      <c r="C152" s="293"/>
      <c r="D152" s="293"/>
      <c r="E152" s="293"/>
      <c r="F152" s="152"/>
      <c r="G152" s="282"/>
      <c r="H152" s="153"/>
      <c r="I152" s="293"/>
      <c r="J152" s="295"/>
      <c r="K152" s="288"/>
      <c r="L152" s="291"/>
      <c r="M152" s="303"/>
      <c r="N152" s="317">
        <f t="shared" si="128"/>
        <v>0</v>
      </c>
      <c r="O152" s="288"/>
      <c r="P152" s="291"/>
      <c r="Q152" s="284"/>
      <c r="R152" s="163">
        <v>4</v>
      </c>
      <c r="S152" s="183"/>
      <c r="T152" s="164" t="str">
        <f t="shared" ref="T152:T154" si="132">IF(OR(U152="Preventivo",U152="Detectivo"),"Probabilidad",IF(U152="Correctivo","Impacto",""))</f>
        <v/>
      </c>
      <c r="U152" s="165"/>
      <c r="V152" s="165"/>
      <c r="W152" s="166" t="str">
        <f t="shared" si="129"/>
        <v/>
      </c>
      <c r="X152" s="165"/>
      <c r="Y152" s="165"/>
      <c r="Z152" s="165"/>
      <c r="AA152" s="167" t="str">
        <f>IFERROR(IF(AND(T151="Probabilidad",T152="Probabilidad"),(AC151-(+AC151*W152)),IF(AND(T151="Impacto",T152="Probabilidad"),(AC150-(+AC150*W152)),IF(T152="Impacto",AC151,""))),"")</f>
        <v/>
      </c>
      <c r="AB152" s="168" t="str">
        <f t="shared" si="117"/>
        <v/>
      </c>
      <c r="AC152" s="169" t="str">
        <f t="shared" si="130"/>
        <v/>
      </c>
      <c r="AD152" s="168" t="str">
        <f t="shared" si="119"/>
        <v/>
      </c>
      <c r="AE152" s="169" t="str">
        <f>IFERROR(IF(AND(T151="Impacto",T152="Impacto"),(AE151-(+AE151*W152)),IF(AND(T151="Probabilidad",T152="Impacto"),(AE150-(+AE150*W152)),IF(T152="Probabilidad",AE151,""))),"")</f>
        <v/>
      </c>
      <c r="AF152" s="170" t="str">
        <f>IFERROR(IF(OR(AND(AB152="Muy Baja",AD152="Leve"),AND(AB152="Muy Baja",AD152="Menor"),AND(AB152="Baja",AD152="Leve")),"Bajo",IF(OR(AND(AB152="Muy baja",AD152="Moderado"),AND(AB152="Baja",AD152="Menor"),AND(AB152="Baja",AD152="Moderado"),AND(AB152="Media",AD152="Leve"),AND(AB152="Media",AD152="Menor"),AND(AB152="Media",AD152="Moderado"),AND(AB152="Alta",AD152="Leve"),AND(AB152="Alta",AD152="Menor")),"Moderado",IF(OR(AND(AB152="Muy Baja",AD152="Mayor"),AND(AB152="Baja",AD152="Mayor"),AND(AB152="Media",AD152="Mayor"),AND(AB152="Alta",AD152="Moderado"),AND(AB152="Alta",AD152="Mayor"),AND(AB152="Muy Alta",AD152="Leve"),AND(AB152="Muy Alta",AD152="Menor"),AND(AB152="Muy Alta",AD152="Moderado"),AND(AB152="Muy Alta",AD152="Mayor")),"Alto",IF(OR(AND(AB152="Muy Baja",AD152="Catastrófico"),AND(AB152="Baja",AD152="Catastrófico"),AND(AB152="Media",AD152="Catastrófico"),AND(AB152="Alta",AD152="Catastrófico"),AND(AB152="Muy Alta",AD152="Catastrófico")),"Extremo","")))),"")</f>
        <v/>
      </c>
      <c r="AG152" s="171"/>
      <c r="AH152" s="172"/>
      <c r="AI152" s="172"/>
      <c r="AJ152" s="172"/>
      <c r="AK152" s="172"/>
      <c r="AL152" s="172"/>
      <c r="AM152" s="165"/>
      <c r="AN152" s="173"/>
      <c r="AO152" s="173"/>
      <c r="AP152" s="172"/>
      <c r="AQ152" s="165"/>
    </row>
    <row r="153" spans="1:43" x14ac:dyDescent="0.3">
      <c r="A153" s="313"/>
      <c r="B153" s="293"/>
      <c r="C153" s="293"/>
      <c r="D153" s="293"/>
      <c r="E153" s="293"/>
      <c r="F153" s="152"/>
      <c r="G153" s="282"/>
      <c r="H153" s="153"/>
      <c r="I153" s="293"/>
      <c r="J153" s="295"/>
      <c r="K153" s="288"/>
      <c r="L153" s="291"/>
      <c r="M153" s="303"/>
      <c r="N153" s="317">
        <f t="shared" si="128"/>
        <v>0</v>
      </c>
      <c r="O153" s="288"/>
      <c r="P153" s="291"/>
      <c r="Q153" s="284"/>
      <c r="R153" s="163">
        <v>5</v>
      </c>
      <c r="S153" s="183"/>
      <c r="T153" s="164" t="str">
        <f t="shared" si="132"/>
        <v/>
      </c>
      <c r="U153" s="165"/>
      <c r="V153" s="165"/>
      <c r="W153" s="166" t="str">
        <f t="shared" si="129"/>
        <v/>
      </c>
      <c r="X153" s="165"/>
      <c r="Y153" s="165"/>
      <c r="Z153" s="165"/>
      <c r="AA153" s="194" t="str">
        <f>IFERROR(IF(AND(T152="Probabilidad",T153="Probabilidad"),(AC152-(+AC152*W153)),IF(AND(T152="Impacto",T153="Probabilidad"),(AC151-(+AC151*W153)),IF(T153="Impacto",AC152,""))),"")</f>
        <v/>
      </c>
      <c r="AB153" s="168" t="str">
        <f>IFERROR(IF(AA153="","",IF(AA153&lt;=0.2,"Muy Baja",IF(AA153&lt;=0.4,"Baja",IF(AA153&lt;=0.6,"Media",IF(AA153&lt;=0.8,"Alta","Muy Alta"))))),"")</f>
        <v/>
      </c>
      <c r="AC153" s="169" t="str">
        <f t="shared" si="130"/>
        <v/>
      </c>
      <c r="AD153" s="168" t="str">
        <f t="shared" si="119"/>
        <v/>
      </c>
      <c r="AE153" s="169" t="str">
        <f>IFERROR(IF(AND(T152="Impacto",T153="Impacto"),(AE152-(+AE152*W153)),IF(AND(T152="Probabilidad",T153="Impacto"),(AE151-(+AE151*W153)),IF(T153="Probabilidad",AE152,""))),"")</f>
        <v/>
      </c>
      <c r="AF153" s="170" t="str">
        <f t="shared" ref="AF153:AF154" si="133">IFERROR(IF(OR(AND(AB153="Muy Baja",AD153="Leve"),AND(AB153="Muy Baja",AD153="Menor"),AND(AB153="Baja",AD153="Leve")),"Bajo",IF(OR(AND(AB153="Muy baja",AD153="Moderado"),AND(AB153="Baja",AD153="Menor"),AND(AB153="Baja",AD153="Moderado"),AND(AB153="Media",AD153="Leve"),AND(AB153="Media",AD153="Menor"),AND(AB153="Media",AD153="Moderado"),AND(AB153="Alta",AD153="Leve"),AND(AB153="Alta",AD153="Menor")),"Moderado",IF(OR(AND(AB153="Muy Baja",AD153="Mayor"),AND(AB153="Baja",AD153="Mayor"),AND(AB153="Media",AD153="Mayor"),AND(AB153="Alta",AD153="Moderado"),AND(AB153="Alta",AD153="Mayor"),AND(AB153="Muy Alta",AD153="Leve"),AND(AB153="Muy Alta",AD153="Menor"),AND(AB153="Muy Alta",AD153="Moderado"),AND(AB153="Muy Alta",AD153="Mayor")),"Alto",IF(OR(AND(AB153="Muy Baja",AD153="Catastrófico"),AND(AB153="Baja",AD153="Catastrófico"),AND(AB153="Media",AD153="Catastrófico"),AND(AB153="Alta",AD153="Catastrófico"),AND(AB153="Muy Alta",AD153="Catastrófico")),"Extremo","")))),"")</f>
        <v/>
      </c>
      <c r="AG153" s="171"/>
      <c r="AH153" s="172"/>
      <c r="AI153" s="172"/>
      <c r="AJ153" s="172"/>
      <c r="AK153" s="172"/>
      <c r="AL153" s="172"/>
      <c r="AM153" s="165"/>
      <c r="AN153" s="173"/>
      <c r="AO153" s="173"/>
      <c r="AP153" s="172"/>
      <c r="AQ153" s="165"/>
    </row>
    <row r="154" spans="1:43" x14ac:dyDescent="0.3">
      <c r="A154" s="314"/>
      <c r="B154" s="294"/>
      <c r="C154" s="293"/>
      <c r="D154" s="293"/>
      <c r="E154" s="293"/>
      <c r="F154" s="152"/>
      <c r="G154" s="282"/>
      <c r="H154" s="153"/>
      <c r="I154" s="294"/>
      <c r="J154" s="296"/>
      <c r="K154" s="289"/>
      <c r="L154" s="292"/>
      <c r="M154" s="304"/>
      <c r="N154" s="318">
        <f t="shared" si="128"/>
        <v>0</v>
      </c>
      <c r="O154" s="289"/>
      <c r="P154" s="292"/>
      <c r="Q154" s="285"/>
      <c r="R154" s="163">
        <v>6</v>
      </c>
      <c r="S154" s="183"/>
      <c r="T154" s="164" t="str">
        <f t="shared" si="132"/>
        <v/>
      </c>
      <c r="U154" s="165"/>
      <c r="V154" s="165"/>
      <c r="W154" s="166" t="str">
        <f t="shared" si="129"/>
        <v/>
      </c>
      <c r="X154" s="165"/>
      <c r="Y154" s="165"/>
      <c r="Z154" s="165"/>
      <c r="AA154" s="167" t="str">
        <f>IFERROR(IF(AND(T153="Probabilidad",T154="Probabilidad"),(AC153-(+AC153*W154)),IF(AND(T153="Impacto",T154="Probabilidad"),(AC152-(+AC152*W154)),IF(T154="Impacto",AC153,""))),"")</f>
        <v/>
      </c>
      <c r="AB154" s="168" t="str">
        <f t="shared" si="117"/>
        <v/>
      </c>
      <c r="AC154" s="169" t="str">
        <f t="shared" si="130"/>
        <v/>
      </c>
      <c r="AD154" s="168" t="str">
        <f t="shared" si="119"/>
        <v/>
      </c>
      <c r="AE154" s="169" t="str">
        <f>IFERROR(IF(AND(T153="Impacto",T154="Impacto"),(AE153-(+AE153*W154)),IF(AND(T153="Probabilidad",T154="Impacto"),(AE152-(+AE152*W154)),IF(T154="Probabilidad",AE153,""))),"")</f>
        <v/>
      </c>
      <c r="AF154" s="170" t="str">
        <f t="shared" si="133"/>
        <v/>
      </c>
      <c r="AG154" s="171"/>
      <c r="AH154" s="172"/>
      <c r="AI154" s="172"/>
      <c r="AJ154" s="172"/>
      <c r="AK154" s="172"/>
      <c r="AL154" s="172"/>
      <c r="AM154" s="165"/>
      <c r="AN154" s="173"/>
      <c r="AO154" s="173"/>
      <c r="AP154" s="172"/>
      <c r="AQ154" s="165"/>
    </row>
  </sheetData>
  <autoFilter ref="D1:D154" xr:uid="{00000000-0001-0000-0100-000000000000}"/>
  <dataConsolidate/>
  <mergeCells count="522">
    <mergeCell ref="AG149:AG150"/>
    <mergeCell ref="L143:L148"/>
    <mergeCell ref="M143:M148"/>
    <mergeCell ref="N143:N148"/>
    <mergeCell ref="O143:O148"/>
    <mergeCell ref="P143:P148"/>
    <mergeCell ref="Q143:Q148"/>
    <mergeCell ref="A149:A154"/>
    <mergeCell ref="B149:B154"/>
    <mergeCell ref="C149:C154"/>
    <mergeCell ref="D149:D154"/>
    <mergeCell ref="E149:E154"/>
    <mergeCell ref="G149:G154"/>
    <mergeCell ref="I149:I154"/>
    <mergeCell ref="J149:J154"/>
    <mergeCell ref="K149:K154"/>
    <mergeCell ref="L149:L154"/>
    <mergeCell ref="M149:M154"/>
    <mergeCell ref="N149:N154"/>
    <mergeCell ref="O149:O154"/>
    <mergeCell ref="P149:P154"/>
    <mergeCell ref="Q149:Q154"/>
    <mergeCell ref="A143:A148"/>
    <mergeCell ref="B143:B148"/>
    <mergeCell ref="C143:C148"/>
    <mergeCell ref="D143:D148"/>
    <mergeCell ref="E143:E148"/>
    <mergeCell ref="G143:G148"/>
    <mergeCell ref="I143:I148"/>
    <mergeCell ref="J143:J148"/>
    <mergeCell ref="K143:K148"/>
    <mergeCell ref="AP135:AP136"/>
    <mergeCell ref="AQ135:AQ136"/>
    <mergeCell ref="L137:L142"/>
    <mergeCell ref="M137:M142"/>
    <mergeCell ref="N137:N142"/>
    <mergeCell ref="O137:O142"/>
    <mergeCell ref="P137:P142"/>
    <mergeCell ref="Q137:Q142"/>
    <mergeCell ref="AG135:AG136"/>
    <mergeCell ref="AH135:AH136"/>
    <mergeCell ref="AI135:AI136"/>
    <mergeCell ref="AJ135:AJ136"/>
    <mergeCell ref="AK135:AK136"/>
    <mergeCell ref="AL135:AL136"/>
    <mergeCell ref="AM135:AM136"/>
    <mergeCell ref="AN135:AN136"/>
    <mergeCell ref="AO135:AO136"/>
    <mergeCell ref="A137:A142"/>
    <mergeCell ref="B137:B142"/>
    <mergeCell ref="C137:C142"/>
    <mergeCell ref="D137:D142"/>
    <mergeCell ref="E137:E142"/>
    <mergeCell ref="G137:G142"/>
    <mergeCell ref="I137:I142"/>
    <mergeCell ref="J137:J142"/>
    <mergeCell ref="K137:K142"/>
    <mergeCell ref="S135:S136"/>
    <mergeCell ref="T135:T136"/>
    <mergeCell ref="U135:Z135"/>
    <mergeCell ref="AA135:AA136"/>
    <mergeCell ref="AB135:AB136"/>
    <mergeCell ref="AC135:AC136"/>
    <mergeCell ref="AD135:AD136"/>
    <mergeCell ref="AE135:AE136"/>
    <mergeCell ref="AF135:AF136"/>
    <mergeCell ref="J135:J136"/>
    <mergeCell ref="K135:K136"/>
    <mergeCell ref="L135:L136"/>
    <mergeCell ref="M135:M136"/>
    <mergeCell ref="N135:N136"/>
    <mergeCell ref="O135:O136"/>
    <mergeCell ref="P135:P136"/>
    <mergeCell ref="Q135:Q136"/>
    <mergeCell ref="R135:R136"/>
    <mergeCell ref="A135:A136"/>
    <mergeCell ref="B135:B136"/>
    <mergeCell ref="C135:C136"/>
    <mergeCell ref="D135:D136"/>
    <mergeCell ref="E135:E136"/>
    <mergeCell ref="F135:F136"/>
    <mergeCell ref="G135:G136"/>
    <mergeCell ref="H135:H136"/>
    <mergeCell ref="I135:I136"/>
    <mergeCell ref="O123:O128"/>
    <mergeCell ref="P123:P128"/>
    <mergeCell ref="Q123:Q128"/>
    <mergeCell ref="A129:A134"/>
    <mergeCell ref="B129:B134"/>
    <mergeCell ref="C129:C134"/>
    <mergeCell ref="D129:D134"/>
    <mergeCell ref="E129:E134"/>
    <mergeCell ref="G129:G134"/>
    <mergeCell ref="I129:I134"/>
    <mergeCell ref="J129:J134"/>
    <mergeCell ref="K129:K134"/>
    <mergeCell ref="L129:L134"/>
    <mergeCell ref="M129:M134"/>
    <mergeCell ref="N129:N134"/>
    <mergeCell ref="O129:O134"/>
    <mergeCell ref="P129:P134"/>
    <mergeCell ref="Q129:Q134"/>
    <mergeCell ref="A123:A128"/>
    <mergeCell ref="B123:B128"/>
    <mergeCell ref="C123:C128"/>
    <mergeCell ref="D123:D128"/>
    <mergeCell ref="E123:E128"/>
    <mergeCell ref="G123:G128"/>
    <mergeCell ref="I123:I128"/>
    <mergeCell ref="J123:J128"/>
    <mergeCell ref="K123:K128"/>
    <mergeCell ref="L111:L116"/>
    <mergeCell ref="M111:M116"/>
    <mergeCell ref="N111:N116"/>
    <mergeCell ref="I111:I116"/>
    <mergeCell ref="J111:J116"/>
    <mergeCell ref="K111:K116"/>
    <mergeCell ref="L123:L128"/>
    <mergeCell ref="M123:M128"/>
    <mergeCell ref="N123:N128"/>
    <mergeCell ref="O111:O116"/>
    <mergeCell ref="P111:P116"/>
    <mergeCell ref="Q111:Q116"/>
    <mergeCell ref="A117:A122"/>
    <mergeCell ref="B117:B122"/>
    <mergeCell ref="C117:C122"/>
    <mergeCell ref="D117:D122"/>
    <mergeCell ref="E117:E122"/>
    <mergeCell ref="G117:G122"/>
    <mergeCell ref="I117:I122"/>
    <mergeCell ref="J117:J122"/>
    <mergeCell ref="K117:K122"/>
    <mergeCell ref="L117:L122"/>
    <mergeCell ref="M117:M122"/>
    <mergeCell ref="N117:N122"/>
    <mergeCell ref="O117:O122"/>
    <mergeCell ref="P117:P122"/>
    <mergeCell ref="Q117:Q122"/>
    <mergeCell ref="A111:A116"/>
    <mergeCell ref="B111:B116"/>
    <mergeCell ref="C111:C116"/>
    <mergeCell ref="D111:D116"/>
    <mergeCell ref="E111:E116"/>
    <mergeCell ref="G111:G116"/>
    <mergeCell ref="AP103:AP104"/>
    <mergeCell ref="AQ103:AQ104"/>
    <mergeCell ref="A105:A110"/>
    <mergeCell ref="B105:B110"/>
    <mergeCell ref="C105:C110"/>
    <mergeCell ref="D105:D110"/>
    <mergeCell ref="E105:E110"/>
    <mergeCell ref="G105:G110"/>
    <mergeCell ref="I105:I110"/>
    <mergeCell ref="J105:J110"/>
    <mergeCell ref="K105:K110"/>
    <mergeCell ref="L105:L110"/>
    <mergeCell ref="M105:M110"/>
    <mergeCell ref="N105:N110"/>
    <mergeCell ref="O105:O110"/>
    <mergeCell ref="P105:P110"/>
    <mergeCell ref="Q105:Q110"/>
    <mergeCell ref="AG103:AG104"/>
    <mergeCell ref="AH103:AH104"/>
    <mergeCell ref="AI103:AI104"/>
    <mergeCell ref="AJ103:AJ104"/>
    <mergeCell ref="AK103:AK104"/>
    <mergeCell ref="AL103:AL104"/>
    <mergeCell ref="AM103:AM104"/>
    <mergeCell ref="AN103:AN104"/>
    <mergeCell ref="AO103:AO104"/>
    <mergeCell ref="S103:S104"/>
    <mergeCell ref="T103:T104"/>
    <mergeCell ref="U103:Z103"/>
    <mergeCell ref="AA103:AA104"/>
    <mergeCell ref="AB103:AB104"/>
    <mergeCell ref="AC103:AC104"/>
    <mergeCell ref="AD103:AD104"/>
    <mergeCell ref="AE103:AE104"/>
    <mergeCell ref="AF103:AF104"/>
    <mergeCell ref="J103:J104"/>
    <mergeCell ref="K103:K104"/>
    <mergeCell ref="L103:L104"/>
    <mergeCell ref="M103:M104"/>
    <mergeCell ref="N103:N104"/>
    <mergeCell ref="O103:O104"/>
    <mergeCell ref="P103:P104"/>
    <mergeCell ref="Q103:Q104"/>
    <mergeCell ref="R103:R104"/>
    <mergeCell ref="A103:A104"/>
    <mergeCell ref="B103:B104"/>
    <mergeCell ref="C103:C104"/>
    <mergeCell ref="D103:D104"/>
    <mergeCell ref="E103:E104"/>
    <mergeCell ref="F103:F104"/>
    <mergeCell ref="G103:G104"/>
    <mergeCell ref="H103:H104"/>
    <mergeCell ref="I103:I104"/>
    <mergeCell ref="O91:O96"/>
    <mergeCell ref="P91:P96"/>
    <mergeCell ref="Q91:Q96"/>
    <mergeCell ref="A97:A102"/>
    <mergeCell ref="B97:B102"/>
    <mergeCell ref="C97:C102"/>
    <mergeCell ref="D97:D102"/>
    <mergeCell ref="E97:E102"/>
    <mergeCell ref="G97:G102"/>
    <mergeCell ref="I97:I102"/>
    <mergeCell ref="J97:J102"/>
    <mergeCell ref="K97:K102"/>
    <mergeCell ref="L97:L102"/>
    <mergeCell ref="M97:M102"/>
    <mergeCell ref="N97:N102"/>
    <mergeCell ref="O97:O102"/>
    <mergeCell ref="P97:P102"/>
    <mergeCell ref="Q97:Q102"/>
    <mergeCell ref="A91:A96"/>
    <mergeCell ref="B91:B96"/>
    <mergeCell ref="C91:C96"/>
    <mergeCell ref="D91:D96"/>
    <mergeCell ref="E91:E96"/>
    <mergeCell ref="G91:G96"/>
    <mergeCell ref="I91:I96"/>
    <mergeCell ref="J91:J96"/>
    <mergeCell ref="K91:K96"/>
    <mergeCell ref="L79:L84"/>
    <mergeCell ref="M79:M84"/>
    <mergeCell ref="N79:N84"/>
    <mergeCell ref="I79:I84"/>
    <mergeCell ref="J79:J84"/>
    <mergeCell ref="K79:K84"/>
    <mergeCell ref="L91:L96"/>
    <mergeCell ref="M91:M96"/>
    <mergeCell ref="N91:N96"/>
    <mergeCell ref="O79:O84"/>
    <mergeCell ref="P79:P84"/>
    <mergeCell ref="Q79:Q84"/>
    <mergeCell ref="A85:A90"/>
    <mergeCell ref="B85:B90"/>
    <mergeCell ref="C85:C90"/>
    <mergeCell ref="D85:D90"/>
    <mergeCell ref="E85:E90"/>
    <mergeCell ref="G85:G90"/>
    <mergeCell ref="I85:I90"/>
    <mergeCell ref="J85:J90"/>
    <mergeCell ref="K85:K90"/>
    <mergeCell ref="L85:L90"/>
    <mergeCell ref="M85:M90"/>
    <mergeCell ref="N85:N90"/>
    <mergeCell ref="O85:O90"/>
    <mergeCell ref="P85:P90"/>
    <mergeCell ref="Q85:Q90"/>
    <mergeCell ref="A79:A84"/>
    <mergeCell ref="B79:B84"/>
    <mergeCell ref="C79:C84"/>
    <mergeCell ref="D79:D84"/>
    <mergeCell ref="E79:E84"/>
    <mergeCell ref="G79:G84"/>
    <mergeCell ref="L67:L72"/>
    <mergeCell ref="M67:M72"/>
    <mergeCell ref="N67:N72"/>
    <mergeCell ref="O67:O72"/>
    <mergeCell ref="P67:P72"/>
    <mergeCell ref="Q67:Q72"/>
    <mergeCell ref="A73:A78"/>
    <mergeCell ref="B73:B78"/>
    <mergeCell ref="C73:C78"/>
    <mergeCell ref="D73:D78"/>
    <mergeCell ref="E73:E78"/>
    <mergeCell ref="G73:G78"/>
    <mergeCell ref="I73:I78"/>
    <mergeCell ref="J73:J78"/>
    <mergeCell ref="K73:K78"/>
    <mergeCell ref="L73:L78"/>
    <mergeCell ref="M73:M78"/>
    <mergeCell ref="N73:N78"/>
    <mergeCell ref="O73:O78"/>
    <mergeCell ref="P73:P78"/>
    <mergeCell ref="Q73:Q78"/>
    <mergeCell ref="A67:A72"/>
    <mergeCell ref="B67:B72"/>
    <mergeCell ref="C67:C72"/>
    <mergeCell ref="D67:D72"/>
    <mergeCell ref="E67:E72"/>
    <mergeCell ref="G67:G72"/>
    <mergeCell ref="I67:I72"/>
    <mergeCell ref="J67:J72"/>
    <mergeCell ref="K67:K72"/>
    <mergeCell ref="A61:A66"/>
    <mergeCell ref="B61:B66"/>
    <mergeCell ref="C61:C66"/>
    <mergeCell ref="D61:D66"/>
    <mergeCell ref="E61:E66"/>
    <mergeCell ref="G61:G66"/>
    <mergeCell ref="I61:I66"/>
    <mergeCell ref="J61:J66"/>
    <mergeCell ref="K61:K66"/>
    <mergeCell ref="A55:A60"/>
    <mergeCell ref="B55:B60"/>
    <mergeCell ref="C55:C60"/>
    <mergeCell ref="D55:D60"/>
    <mergeCell ref="E55:E60"/>
    <mergeCell ref="G55:G60"/>
    <mergeCell ref="I55:I60"/>
    <mergeCell ref="J55:J60"/>
    <mergeCell ref="K55:K60"/>
    <mergeCell ref="AO41:AO42"/>
    <mergeCell ref="AP41:AP42"/>
    <mergeCell ref="AQ41:AQ42"/>
    <mergeCell ref="Q43:Q48"/>
    <mergeCell ref="A49:A54"/>
    <mergeCell ref="B49:B54"/>
    <mergeCell ref="C49:C54"/>
    <mergeCell ref="D49:D54"/>
    <mergeCell ref="E49:E54"/>
    <mergeCell ref="G49:G54"/>
    <mergeCell ref="I49:I54"/>
    <mergeCell ref="J49:J54"/>
    <mergeCell ref="K49:K54"/>
    <mergeCell ref="L49:L54"/>
    <mergeCell ref="M49:M54"/>
    <mergeCell ref="N49:N54"/>
    <mergeCell ref="O49:O54"/>
    <mergeCell ref="P49:P54"/>
    <mergeCell ref="Q49:Q54"/>
    <mergeCell ref="AF41:AF42"/>
    <mergeCell ref="AG41:AG42"/>
    <mergeCell ref="AH41:AH42"/>
    <mergeCell ref="AI41:AI42"/>
    <mergeCell ref="AJ41:AJ42"/>
    <mergeCell ref="AK41:AK42"/>
    <mergeCell ref="AL41:AL42"/>
    <mergeCell ref="AM41:AM42"/>
    <mergeCell ref="AN41:AN42"/>
    <mergeCell ref="R41:R42"/>
    <mergeCell ref="S41:S42"/>
    <mergeCell ref="T41:T42"/>
    <mergeCell ref="U41:Z41"/>
    <mergeCell ref="AA41:AA42"/>
    <mergeCell ref="AB41:AB42"/>
    <mergeCell ref="AC41:AC42"/>
    <mergeCell ref="AD41:AD42"/>
    <mergeCell ref="AE41:AE42"/>
    <mergeCell ref="L28:L33"/>
    <mergeCell ref="A22:A27"/>
    <mergeCell ref="B22:B27"/>
    <mergeCell ref="R40:Z40"/>
    <mergeCell ref="AA40:AG40"/>
    <mergeCell ref="AH40:AK40"/>
    <mergeCell ref="AL40:AQ40"/>
    <mergeCell ref="A41:A42"/>
    <mergeCell ref="B41:B42"/>
    <mergeCell ref="C41:C42"/>
    <mergeCell ref="D41:D42"/>
    <mergeCell ref="E41:E42"/>
    <mergeCell ref="F41:F42"/>
    <mergeCell ref="G41:G42"/>
    <mergeCell ref="H41:H42"/>
    <mergeCell ref="I41:I42"/>
    <mergeCell ref="J41:J42"/>
    <mergeCell ref="K41:K42"/>
    <mergeCell ref="L41:L42"/>
    <mergeCell ref="M41:M42"/>
    <mergeCell ref="N41:N42"/>
    <mergeCell ref="O41:O42"/>
    <mergeCell ref="P41:P42"/>
    <mergeCell ref="Q41:Q42"/>
    <mergeCell ref="AD8:AD9"/>
    <mergeCell ref="AB8:AB9"/>
    <mergeCell ref="AC8:AC9"/>
    <mergeCell ref="T8:T9"/>
    <mergeCell ref="U8:Z8"/>
    <mergeCell ref="D10:D15"/>
    <mergeCell ref="A7:J7"/>
    <mergeCell ref="K7:Q7"/>
    <mergeCell ref="A10:A15"/>
    <mergeCell ref="B10:B15"/>
    <mergeCell ref="C10:C15"/>
    <mergeCell ref="E10:E15"/>
    <mergeCell ref="Q10:Q15"/>
    <mergeCell ref="L10:L15"/>
    <mergeCell ref="O10:O15"/>
    <mergeCell ref="P10:P15"/>
    <mergeCell ref="N10:N15"/>
    <mergeCell ref="C40:I40"/>
    <mergeCell ref="A43:A48"/>
    <mergeCell ref="B43:B48"/>
    <mergeCell ref="C43:C48"/>
    <mergeCell ref="D43:D48"/>
    <mergeCell ref="E43:E48"/>
    <mergeCell ref="G43:G48"/>
    <mergeCell ref="I43:I48"/>
    <mergeCell ref="A28:A33"/>
    <mergeCell ref="B28:B33"/>
    <mergeCell ref="A34:A39"/>
    <mergeCell ref="B34:B39"/>
    <mergeCell ref="C34:C39"/>
    <mergeCell ref="I34:I39"/>
    <mergeCell ref="C28:C33"/>
    <mergeCell ref="I28:I33"/>
    <mergeCell ref="G28:G33"/>
    <mergeCell ref="E28:E33"/>
    <mergeCell ref="E34:E39"/>
    <mergeCell ref="D28:D33"/>
    <mergeCell ref="D34:D39"/>
    <mergeCell ref="G34:G39"/>
    <mergeCell ref="C22:C27"/>
    <mergeCell ref="I22:I27"/>
    <mergeCell ref="J22:J27"/>
    <mergeCell ref="K22:K27"/>
    <mergeCell ref="L22:L27"/>
    <mergeCell ref="M22:M27"/>
    <mergeCell ref="N22:N27"/>
    <mergeCell ref="E22:E27"/>
    <mergeCell ref="D22:D27"/>
    <mergeCell ref="AL8:AL9"/>
    <mergeCell ref="AL7:AQ7"/>
    <mergeCell ref="AI8:AI9"/>
    <mergeCell ref="AJ8:AJ9"/>
    <mergeCell ref="AK8:AK9"/>
    <mergeCell ref="G8:G9"/>
    <mergeCell ref="R7:Z7"/>
    <mergeCell ref="AA7:AG7"/>
    <mergeCell ref="AH8:AH9"/>
    <mergeCell ref="AQ8:AQ9"/>
    <mergeCell ref="AP8:AP9"/>
    <mergeCell ref="AO8:AO9"/>
    <mergeCell ref="AN8:AN9"/>
    <mergeCell ref="AM8:AM9"/>
    <mergeCell ref="J8:J9"/>
    <mergeCell ref="K8:K9"/>
    <mergeCell ref="L8:L9"/>
    <mergeCell ref="O8:O9"/>
    <mergeCell ref="P8:P9"/>
    <mergeCell ref="M8:M9"/>
    <mergeCell ref="N8:N9"/>
    <mergeCell ref="I8:I9"/>
    <mergeCell ref="H8:H9"/>
    <mergeCell ref="Q8:Q9"/>
    <mergeCell ref="AH7:AK7"/>
    <mergeCell ref="A8:A9"/>
    <mergeCell ref="C8:C9"/>
    <mergeCell ref="I16:I21"/>
    <mergeCell ref="J16:J21"/>
    <mergeCell ref="K16:K21"/>
    <mergeCell ref="L16:L21"/>
    <mergeCell ref="M16:M21"/>
    <mergeCell ref="A16:A21"/>
    <mergeCell ref="B16:B21"/>
    <mergeCell ref="C16:C21"/>
    <mergeCell ref="D16:D21"/>
    <mergeCell ref="E16:E21"/>
    <mergeCell ref="B8:B9"/>
    <mergeCell ref="D8:D9"/>
    <mergeCell ref="F8:F9"/>
    <mergeCell ref="N16:N21"/>
    <mergeCell ref="O16:O21"/>
    <mergeCell ref="AG10:AG11"/>
    <mergeCell ref="AG8:AG9"/>
    <mergeCell ref="R8:R9"/>
    <mergeCell ref="AF8:AF9"/>
    <mergeCell ref="AA8:AA9"/>
    <mergeCell ref="S8:S9"/>
    <mergeCell ref="P16:P21"/>
    <mergeCell ref="P28:P33"/>
    <mergeCell ref="Q28:Q33"/>
    <mergeCell ref="P34:P39"/>
    <mergeCell ref="Q34:Q39"/>
    <mergeCell ref="O34:O39"/>
    <mergeCell ref="J40:Q40"/>
    <mergeCell ref="J43:J48"/>
    <mergeCell ref="K43:K48"/>
    <mergeCell ref="L43:L48"/>
    <mergeCell ref="M43:M48"/>
    <mergeCell ref="N43:N48"/>
    <mergeCell ref="O43:O48"/>
    <mergeCell ref="P43:P48"/>
    <mergeCell ref="J34:J39"/>
    <mergeCell ref="K34:K39"/>
    <mergeCell ref="L34:L39"/>
    <mergeCell ref="M28:M33"/>
    <mergeCell ref="N28:N33"/>
    <mergeCell ref="O28:O33"/>
    <mergeCell ref="M34:M39"/>
    <mergeCell ref="N34:N39"/>
    <mergeCell ref="J28:J33"/>
    <mergeCell ref="K28:K33"/>
    <mergeCell ref="L55:L60"/>
    <mergeCell ref="M55:M60"/>
    <mergeCell ref="N55:N60"/>
    <mergeCell ref="O55:O60"/>
    <mergeCell ref="P55:P60"/>
    <mergeCell ref="Q55:Q60"/>
    <mergeCell ref="L61:L66"/>
    <mergeCell ref="M61:M66"/>
    <mergeCell ref="N61:N66"/>
    <mergeCell ref="O61:O66"/>
    <mergeCell ref="P61:P66"/>
    <mergeCell ref="Q61:Q66"/>
    <mergeCell ref="A1:C5"/>
    <mergeCell ref="D1:O5"/>
    <mergeCell ref="P1:Q2"/>
    <mergeCell ref="R1:S2"/>
    <mergeCell ref="P3:Q4"/>
    <mergeCell ref="R3:S4"/>
    <mergeCell ref="P5:Q5"/>
    <mergeCell ref="R5:S5"/>
    <mergeCell ref="AG22:AG23"/>
    <mergeCell ref="G22:G27"/>
    <mergeCell ref="Q16:Q21"/>
    <mergeCell ref="AE8:AE9"/>
    <mergeCell ref="O22:O27"/>
    <mergeCell ref="P22:P27"/>
    <mergeCell ref="Q22:Q27"/>
    <mergeCell ref="I10:I15"/>
    <mergeCell ref="J10:J15"/>
    <mergeCell ref="K10:K15"/>
    <mergeCell ref="G10:G15"/>
    <mergeCell ref="A6:B6"/>
    <mergeCell ref="C6:Q6"/>
    <mergeCell ref="E8:E9"/>
    <mergeCell ref="G16:G21"/>
    <mergeCell ref="M10:M15"/>
  </mergeCells>
  <conditionalFormatting sqref="K10 K16">
    <cfRule type="cellIs" dxfId="274" priority="535" operator="equal">
      <formula>"Muy Baja"</formula>
    </cfRule>
    <cfRule type="cellIs" dxfId="273" priority="533" operator="equal">
      <formula>"Media"</formula>
    </cfRule>
    <cfRule type="cellIs" dxfId="272" priority="534" operator="equal">
      <formula>"Baja"</formula>
    </cfRule>
    <cfRule type="cellIs" dxfId="271" priority="532" operator="equal">
      <formula>"Alta"</formula>
    </cfRule>
    <cfRule type="cellIs" dxfId="270" priority="531" operator="equal">
      <formula>"Muy Alta"</formula>
    </cfRule>
  </conditionalFormatting>
  <conditionalFormatting sqref="K22">
    <cfRule type="cellIs" dxfId="269" priority="406" operator="equal">
      <formula>"Alta"</formula>
    </cfRule>
    <cfRule type="cellIs" dxfId="268" priority="405" operator="equal">
      <formula>"Muy Alta"</formula>
    </cfRule>
    <cfRule type="cellIs" dxfId="267" priority="409" operator="equal">
      <formula>"Muy Baja"</formula>
    </cfRule>
    <cfRule type="cellIs" dxfId="266" priority="408" operator="equal">
      <formula>"Baja"</formula>
    </cfRule>
    <cfRule type="cellIs" dxfId="265" priority="407" operator="equal">
      <formula>"Media"</formula>
    </cfRule>
  </conditionalFormatting>
  <conditionalFormatting sqref="K28">
    <cfRule type="cellIs" dxfId="264" priority="381" operator="equal">
      <formula>"Muy Baja"</formula>
    </cfRule>
    <cfRule type="cellIs" dxfId="263" priority="380" operator="equal">
      <formula>"Baja"</formula>
    </cfRule>
    <cfRule type="cellIs" dxfId="262" priority="379" operator="equal">
      <formula>"Media"</formula>
    </cfRule>
    <cfRule type="cellIs" dxfId="261" priority="378" operator="equal">
      <formula>"Alta"</formula>
    </cfRule>
    <cfRule type="cellIs" dxfId="260" priority="377" operator="equal">
      <formula>"Muy Alta"</formula>
    </cfRule>
  </conditionalFormatting>
  <conditionalFormatting sqref="K34">
    <cfRule type="cellIs" dxfId="259" priority="353" operator="equal">
      <formula>"Muy Baja"</formula>
    </cfRule>
    <cfRule type="cellIs" dxfId="258" priority="352" operator="equal">
      <formula>"Baja"</formula>
    </cfRule>
    <cfRule type="cellIs" dxfId="257" priority="351" operator="equal">
      <formula>"Media"</formula>
    </cfRule>
    <cfRule type="cellIs" dxfId="256" priority="350" operator="equal">
      <formula>"Alta"</formula>
    </cfRule>
    <cfRule type="cellIs" dxfId="255" priority="349" operator="equal">
      <formula>"Muy Alta"</formula>
    </cfRule>
  </conditionalFormatting>
  <conditionalFormatting sqref="K43 K49">
    <cfRule type="cellIs" dxfId="254" priority="208" operator="equal">
      <formula>"Muy Alta"</formula>
    </cfRule>
    <cfRule type="cellIs" dxfId="253" priority="209" operator="equal">
      <formula>"Alta"</formula>
    </cfRule>
    <cfRule type="cellIs" dxfId="252" priority="211" operator="equal">
      <formula>"Baja"</formula>
    </cfRule>
    <cfRule type="cellIs" dxfId="251" priority="210" operator="equal">
      <formula>"Media"</formula>
    </cfRule>
    <cfRule type="cellIs" dxfId="250" priority="212" operator="equal">
      <formula>"Muy Baja"</formula>
    </cfRule>
  </conditionalFormatting>
  <conditionalFormatting sqref="K55">
    <cfRule type="cellIs" dxfId="249" priority="191" operator="equal">
      <formula>"Alta"</formula>
    </cfRule>
    <cfRule type="cellIs" dxfId="248" priority="190" operator="equal">
      <formula>"Muy Alta"</formula>
    </cfRule>
    <cfRule type="cellIs" dxfId="247" priority="194" operator="equal">
      <formula>"Muy Baja"</formula>
    </cfRule>
    <cfRule type="cellIs" dxfId="246" priority="192" operator="equal">
      <formula>"Media"</formula>
    </cfRule>
    <cfRule type="cellIs" dxfId="245" priority="193" operator="equal">
      <formula>"Baja"</formula>
    </cfRule>
  </conditionalFormatting>
  <conditionalFormatting sqref="K61">
    <cfRule type="cellIs" dxfId="244" priority="184" operator="equal">
      <formula>"Baja"</formula>
    </cfRule>
    <cfRule type="cellIs" dxfId="243" priority="185" operator="equal">
      <formula>"Muy Baja"</formula>
    </cfRule>
    <cfRule type="cellIs" dxfId="242" priority="181" operator="equal">
      <formula>"Muy Alta"</formula>
    </cfRule>
    <cfRule type="cellIs" dxfId="241" priority="182" operator="equal">
      <formula>"Alta"</formula>
    </cfRule>
    <cfRule type="cellIs" dxfId="240" priority="183" operator="equal">
      <formula>"Media"</formula>
    </cfRule>
  </conditionalFormatting>
  <conditionalFormatting sqref="K67">
    <cfRule type="cellIs" dxfId="239" priority="173" operator="equal">
      <formula>"Alta"</formula>
    </cfRule>
    <cfRule type="cellIs" dxfId="238" priority="172" operator="equal">
      <formula>"Muy Alta"</formula>
    </cfRule>
    <cfRule type="cellIs" dxfId="237" priority="175" operator="equal">
      <formula>"Baja"</formula>
    </cfRule>
    <cfRule type="cellIs" dxfId="236" priority="176" operator="equal">
      <formula>"Muy Baja"</formula>
    </cfRule>
    <cfRule type="cellIs" dxfId="235" priority="174" operator="equal">
      <formula>"Media"</formula>
    </cfRule>
  </conditionalFormatting>
  <conditionalFormatting sqref="K73">
    <cfRule type="cellIs" dxfId="234" priority="166" operator="equal">
      <formula>"Baja"</formula>
    </cfRule>
    <cfRule type="cellIs" dxfId="233" priority="165" operator="equal">
      <formula>"Media"</formula>
    </cfRule>
    <cfRule type="cellIs" dxfId="232" priority="164" operator="equal">
      <formula>"Alta"</formula>
    </cfRule>
    <cfRule type="cellIs" dxfId="231" priority="163" operator="equal">
      <formula>"Muy Alta"</formula>
    </cfRule>
    <cfRule type="cellIs" dxfId="230" priority="167" operator="equal">
      <formula>"Muy Baja"</formula>
    </cfRule>
  </conditionalFormatting>
  <conditionalFormatting sqref="K79">
    <cfRule type="cellIs" dxfId="229" priority="158" operator="equal">
      <formula>"Muy Baja"</formula>
    </cfRule>
    <cfRule type="cellIs" dxfId="228" priority="157" operator="equal">
      <formula>"Baja"</formula>
    </cfRule>
    <cfRule type="cellIs" dxfId="227" priority="156" operator="equal">
      <formula>"Media"</formula>
    </cfRule>
    <cfRule type="cellIs" dxfId="226" priority="155" operator="equal">
      <formula>"Alta"</formula>
    </cfRule>
    <cfRule type="cellIs" dxfId="225" priority="154" operator="equal">
      <formula>"Muy Alta"</formula>
    </cfRule>
  </conditionalFormatting>
  <conditionalFormatting sqref="K85">
    <cfRule type="cellIs" dxfId="224" priority="147" operator="equal">
      <formula>"Media"</formula>
    </cfRule>
    <cfRule type="cellIs" dxfId="223" priority="149" operator="equal">
      <formula>"Muy Baja"</formula>
    </cfRule>
    <cfRule type="cellIs" dxfId="222" priority="148" operator="equal">
      <formula>"Baja"</formula>
    </cfRule>
    <cfRule type="cellIs" dxfId="221" priority="146" operator="equal">
      <formula>"Alta"</formula>
    </cfRule>
    <cfRule type="cellIs" dxfId="220" priority="145" operator="equal">
      <formula>"Muy Alta"</formula>
    </cfRule>
  </conditionalFormatting>
  <conditionalFormatting sqref="K91">
    <cfRule type="cellIs" dxfId="219" priority="137" operator="equal">
      <formula>"Alta"</formula>
    </cfRule>
    <cfRule type="cellIs" dxfId="218" priority="138" operator="equal">
      <formula>"Media"</formula>
    </cfRule>
    <cfRule type="cellIs" dxfId="217" priority="136" operator="equal">
      <formula>"Muy Alta"</formula>
    </cfRule>
    <cfRule type="cellIs" dxfId="216" priority="139" operator="equal">
      <formula>"Baja"</formula>
    </cfRule>
    <cfRule type="cellIs" dxfId="215" priority="140" operator="equal">
      <formula>"Muy Baja"</formula>
    </cfRule>
  </conditionalFormatting>
  <conditionalFormatting sqref="K97">
    <cfRule type="cellIs" dxfId="214" priority="128" operator="equal">
      <formula>"Alta"</formula>
    </cfRule>
    <cfRule type="cellIs" dxfId="213" priority="127" operator="equal">
      <formula>"Muy Alta"</formula>
    </cfRule>
    <cfRule type="cellIs" dxfId="212" priority="129" operator="equal">
      <formula>"Media"</formula>
    </cfRule>
    <cfRule type="cellIs" dxfId="211" priority="130" operator="equal">
      <formula>"Baja"</formula>
    </cfRule>
    <cfRule type="cellIs" dxfId="210" priority="131" operator="equal">
      <formula>"Muy Baja"</formula>
    </cfRule>
  </conditionalFormatting>
  <conditionalFormatting sqref="K105">
    <cfRule type="cellIs" dxfId="209" priority="99" operator="equal">
      <formula>"Alta"</formula>
    </cfRule>
    <cfRule type="cellIs" dxfId="208" priority="101" operator="equal">
      <formula>"Baja"</formula>
    </cfRule>
    <cfRule type="cellIs" dxfId="207" priority="102" operator="equal">
      <formula>"Muy Baja"</formula>
    </cfRule>
    <cfRule type="cellIs" dxfId="206" priority="100" operator="equal">
      <formula>"Media"</formula>
    </cfRule>
    <cfRule type="cellIs" dxfId="205" priority="98" operator="equal">
      <formula>"Muy Alta"</formula>
    </cfRule>
  </conditionalFormatting>
  <conditionalFormatting sqref="K111">
    <cfRule type="cellIs" dxfId="204" priority="91" operator="equal">
      <formula>"Media"</formula>
    </cfRule>
    <cfRule type="cellIs" dxfId="203" priority="92" operator="equal">
      <formula>"Baja"</formula>
    </cfRule>
    <cfRule type="cellIs" dxfId="202" priority="93" operator="equal">
      <formula>"Muy Baja"</formula>
    </cfRule>
    <cfRule type="cellIs" dxfId="201" priority="89" operator="equal">
      <formula>"Muy Alta"</formula>
    </cfRule>
    <cfRule type="cellIs" dxfId="200" priority="90" operator="equal">
      <formula>"Alta"</formula>
    </cfRule>
  </conditionalFormatting>
  <conditionalFormatting sqref="K117">
    <cfRule type="cellIs" dxfId="199" priority="84" operator="equal">
      <formula>"Muy Baja"</formula>
    </cfRule>
    <cfRule type="cellIs" dxfId="198" priority="80" operator="equal">
      <formula>"Muy Alta"</formula>
    </cfRule>
    <cfRule type="cellIs" dxfId="197" priority="83" operator="equal">
      <formula>"Baja"</formula>
    </cfRule>
    <cfRule type="cellIs" dxfId="196" priority="82" operator="equal">
      <formula>"Media"</formula>
    </cfRule>
    <cfRule type="cellIs" dxfId="195" priority="81" operator="equal">
      <formula>"Alta"</formula>
    </cfRule>
  </conditionalFormatting>
  <conditionalFormatting sqref="K123">
    <cfRule type="cellIs" dxfId="194" priority="74" operator="equal">
      <formula>"Baja"</formula>
    </cfRule>
    <cfRule type="cellIs" dxfId="193" priority="75" operator="equal">
      <formula>"Muy Baja"</formula>
    </cfRule>
    <cfRule type="cellIs" dxfId="192" priority="72" operator="equal">
      <formula>"Alta"</formula>
    </cfRule>
    <cfRule type="cellIs" dxfId="191" priority="71" operator="equal">
      <formula>"Muy Alta"</formula>
    </cfRule>
    <cfRule type="cellIs" dxfId="190" priority="73" operator="equal">
      <formula>"Media"</formula>
    </cfRule>
  </conditionalFormatting>
  <conditionalFormatting sqref="K129">
    <cfRule type="cellIs" dxfId="189" priority="65" operator="equal">
      <formula>"Baja"</formula>
    </cfRule>
    <cfRule type="cellIs" dxfId="188" priority="62" operator="equal">
      <formula>"Muy Alta"</formula>
    </cfRule>
    <cfRule type="cellIs" dxfId="187" priority="63" operator="equal">
      <formula>"Alta"</formula>
    </cfRule>
    <cfRule type="cellIs" dxfId="186" priority="64" operator="equal">
      <formula>"Media"</formula>
    </cfRule>
    <cfRule type="cellIs" dxfId="185" priority="66" operator="equal">
      <formula>"Muy Baja"</formula>
    </cfRule>
  </conditionalFormatting>
  <conditionalFormatting sqref="K137 K143">
    <cfRule type="cellIs" dxfId="184" priority="42" operator="equal">
      <formula>"Muy Baja"</formula>
    </cfRule>
    <cfRule type="cellIs" dxfId="183" priority="41" operator="equal">
      <formula>"Baja"</formula>
    </cfRule>
    <cfRule type="cellIs" dxfId="182" priority="38" operator="equal">
      <formula>"Muy Alta"</formula>
    </cfRule>
    <cfRule type="cellIs" dxfId="181" priority="39" operator="equal">
      <formula>"Alta"</formula>
    </cfRule>
    <cfRule type="cellIs" dxfId="180" priority="40" operator="equal">
      <formula>"Media"</formula>
    </cfRule>
  </conditionalFormatting>
  <conditionalFormatting sqref="K149">
    <cfRule type="cellIs" dxfId="179" priority="24" operator="equal">
      <formula>"Muy Baja"</formula>
    </cfRule>
    <cfRule type="cellIs" dxfId="178" priority="23" operator="equal">
      <formula>"Baja"</formula>
    </cfRule>
    <cfRule type="cellIs" dxfId="177" priority="21" operator="equal">
      <formula>"Alta"</formula>
    </cfRule>
    <cfRule type="cellIs" dxfId="176" priority="20" operator="equal">
      <formula>"Muy Alta"</formula>
    </cfRule>
    <cfRule type="cellIs" dxfId="175" priority="22" operator="equal">
      <formula>"Media"</formula>
    </cfRule>
  </conditionalFormatting>
  <conditionalFormatting sqref="N10:N39">
    <cfRule type="containsText" dxfId="174" priority="213" operator="containsText" text="❌">
      <formula>NOT(ISERROR(SEARCH("❌",N10)))</formula>
    </cfRule>
  </conditionalFormatting>
  <conditionalFormatting sqref="N43:N102">
    <cfRule type="containsText" dxfId="173" priority="108" operator="containsText" text="❌">
      <formula>NOT(ISERROR(SEARCH("❌",N43)))</formula>
    </cfRule>
  </conditionalFormatting>
  <conditionalFormatting sqref="N105:N134">
    <cfRule type="containsText" dxfId="172" priority="43" operator="containsText" text="❌">
      <formula>NOT(ISERROR(SEARCH("❌",N105)))</formula>
    </cfRule>
  </conditionalFormatting>
  <conditionalFormatting sqref="N137:N154">
    <cfRule type="containsText" dxfId="171" priority="1" operator="containsText" text="❌">
      <formula>NOT(ISERROR(SEARCH("❌",N137)))</formula>
    </cfRule>
  </conditionalFormatting>
  <conditionalFormatting sqref="O10 O16 O22 O28 O34">
    <cfRule type="cellIs" dxfId="170" priority="528" operator="equal">
      <formula>"Moderado"</formula>
    </cfRule>
    <cfRule type="cellIs" dxfId="169" priority="527" operator="equal">
      <formula>"Mayor"</formula>
    </cfRule>
    <cfRule type="cellIs" dxfId="168" priority="526" operator="equal">
      <formula>"Catastrófico"</formula>
    </cfRule>
    <cfRule type="cellIs" dxfId="167" priority="529" operator="equal">
      <formula>"Menor"</formula>
    </cfRule>
    <cfRule type="cellIs" dxfId="166" priority="530" operator="equal">
      <formula>"Leve"</formula>
    </cfRule>
  </conditionalFormatting>
  <conditionalFormatting sqref="O43 O49 O55 O61 O67 O73 O79 O85 O91 O97">
    <cfRule type="cellIs" dxfId="165" priority="204" operator="equal">
      <formula>"Mayor"</formula>
    </cfRule>
    <cfRule type="cellIs" dxfId="164" priority="203" operator="equal">
      <formula>"Catastrófico"</formula>
    </cfRule>
    <cfRule type="cellIs" dxfId="163" priority="205" operator="equal">
      <formula>"Moderado"</formula>
    </cfRule>
    <cfRule type="cellIs" dxfId="162" priority="206" operator="equal">
      <formula>"Menor"</formula>
    </cfRule>
    <cfRule type="cellIs" dxfId="161" priority="207" operator="equal">
      <formula>"Leve"</formula>
    </cfRule>
  </conditionalFormatting>
  <conditionalFormatting sqref="O105 O111 O117 O123 O129">
    <cfRule type="cellIs" dxfId="160" priority="106" operator="equal">
      <formula>"Menor"</formula>
    </cfRule>
    <cfRule type="cellIs" dxfId="159" priority="107" operator="equal">
      <formula>"Leve"</formula>
    </cfRule>
    <cfRule type="cellIs" dxfId="158" priority="103" operator="equal">
      <formula>"Catastrófico"</formula>
    </cfRule>
    <cfRule type="cellIs" dxfId="157" priority="104" operator="equal">
      <formula>"Mayor"</formula>
    </cfRule>
    <cfRule type="cellIs" dxfId="156" priority="105" operator="equal">
      <formula>"Moderado"</formula>
    </cfRule>
  </conditionalFormatting>
  <conditionalFormatting sqref="O137 O143 O149">
    <cfRule type="cellIs" dxfId="155" priority="33" operator="equal">
      <formula>"Catastrófico"</formula>
    </cfRule>
    <cfRule type="cellIs" dxfId="154" priority="34" operator="equal">
      <formula>"Mayor"</formula>
    </cfRule>
    <cfRule type="cellIs" dxfId="153" priority="37" operator="equal">
      <formula>"Leve"</formula>
    </cfRule>
    <cfRule type="cellIs" dxfId="152" priority="35" operator="equal">
      <formula>"Moderado"</formula>
    </cfRule>
    <cfRule type="cellIs" dxfId="151" priority="36" operator="equal">
      <formula>"Menor"</formula>
    </cfRule>
  </conditionalFormatting>
  <conditionalFormatting sqref="Q10">
    <cfRule type="cellIs" dxfId="150" priority="525" operator="equal">
      <formula>"Bajo"</formula>
    </cfRule>
    <cfRule type="cellIs" dxfId="149" priority="524" operator="equal">
      <formula>"Moderado"</formula>
    </cfRule>
    <cfRule type="cellIs" dxfId="148" priority="523" operator="equal">
      <formula>"Alto"</formula>
    </cfRule>
    <cfRule type="cellIs" dxfId="147" priority="522" operator="equal">
      <formula>"Extremo"</formula>
    </cfRule>
  </conditionalFormatting>
  <conditionalFormatting sqref="Q16">
    <cfRule type="cellIs" dxfId="146" priority="455" operator="equal">
      <formula>"Bajo"</formula>
    </cfRule>
    <cfRule type="cellIs" dxfId="145" priority="454" operator="equal">
      <formula>"Moderado"</formula>
    </cfRule>
    <cfRule type="cellIs" dxfId="144" priority="453" operator="equal">
      <formula>"Alto"</formula>
    </cfRule>
    <cfRule type="cellIs" dxfId="143" priority="452" operator="equal">
      <formula>"Extremo"</formula>
    </cfRule>
  </conditionalFormatting>
  <conditionalFormatting sqref="Q22">
    <cfRule type="cellIs" dxfId="142" priority="399" operator="equal">
      <formula>"Bajo"</formula>
    </cfRule>
    <cfRule type="cellIs" dxfId="141" priority="398" operator="equal">
      <formula>"Moderado"</formula>
    </cfRule>
    <cfRule type="cellIs" dxfId="140" priority="397" operator="equal">
      <formula>"Alto"</formula>
    </cfRule>
    <cfRule type="cellIs" dxfId="139" priority="396" operator="equal">
      <formula>"Extremo"</formula>
    </cfRule>
  </conditionalFormatting>
  <conditionalFormatting sqref="Q28">
    <cfRule type="cellIs" dxfId="138" priority="370" operator="equal">
      <formula>"Moderado"</formula>
    </cfRule>
    <cfRule type="cellIs" dxfId="137" priority="368" operator="equal">
      <formula>"Extremo"</formula>
    </cfRule>
    <cfRule type="cellIs" dxfId="136" priority="369" operator="equal">
      <formula>"Alto"</formula>
    </cfRule>
    <cfRule type="cellIs" dxfId="135" priority="371" operator="equal">
      <formula>"Bajo"</formula>
    </cfRule>
  </conditionalFormatting>
  <conditionalFormatting sqref="Q34">
    <cfRule type="cellIs" dxfId="134" priority="343" operator="equal">
      <formula>"Bajo"</formula>
    </cfRule>
    <cfRule type="cellIs" dxfId="133" priority="342" operator="equal">
      <formula>"Moderado"</formula>
    </cfRule>
    <cfRule type="cellIs" dxfId="132" priority="341" operator="equal">
      <formula>"Alto"</formula>
    </cfRule>
    <cfRule type="cellIs" dxfId="131" priority="340" operator="equal">
      <formula>"Extremo"</formula>
    </cfRule>
  </conditionalFormatting>
  <conditionalFormatting sqref="Q43">
    <cfRule type="cellIs" dxfId="130" priority="202" operator="equal">
      <formula>"Bajo"</formula>
    </cfRule>
    <cfRule type="cellIs" dxfId="129" priority="201" operator="equal">
      <formula>"Moderado"</formula>
    </cfRule>
    <cfRule type="cellIs" dxfId="128" priority="200" operator="equal">
      <formula>"Alto"</formula>
    </cfRule>
    <cfRule type="cellIs" dxfId="127" priority="199" operator="equal">
      <formula>"Extremo"</formula>
    </cfRule>
  </conditionalFormatting>
  <conditionalFormatting sqref="Q49">
    <cfRule type="cellIs" dxfId="126" priority="196" operator="equal">
      <formula>"Alto"</formula>
    </cfRule>
    <cfRule type="cellIs" dxfId="125" priority="198" operator="equal">
      <formula>"Bajo"</formula>
    </cfRule>
    <cfRule type="cellIs" dxfId="124" priority="197" operator="equal">
      <formula>"Moderado"</formula>
    </cfRule>
    <cfRule type="cellIs" dxfId="123" priority="195" operator="equal">
      <formula>"Extremo"</formula>
    </cfRule>
  </conditionalFormatting>
  <conditionalFormatting sqref="Q55">
    <cfRule type="cellIs" dxfId="122" priority="186" operator="equal">
      <formula>"Extremo"</formula>
    </cfRule>
    <cfRule type="cellIs" dxfId="121" priority="187" operator="equal">
      <formula>"Alto"</formula>
    </cfRule>
    <cfRule type="cellIs" dxfId="120" priority="188" operator="equal">
      <formula>"Moderado"</formula>
    </cfRule>
    <cfRule type="cellIs" dxfId="119" priority="189" operator="equal">
      <formula>"Bajo"</formula>
    </cfRule>
  </conditionalFormatting>
  <conditionalFormatting sqref="Q61">
    <cfRule type="cellIs" dxfId="118" priority="178" operator="equal">
      <formula>"Alto"</formula>
    </cfRule>
    <cfRule type="cellIs" dxfId="117" priority="179" operator="equal">
      <formula>"Moderado"</formula>
    </cfRule>
    <cfRule type="cellIs" dxfId="116" priority="180" operator="equal">
      <formula>"Bajo"</formula>
    </cfRule>
    <cfRule type="cellIs" dxfId="115" priority="177" operator="equal">
      <formula>"Extremo"</formula>
    </cfRule>
  </conditionalFormatting>
  <conditionalFormatting sqref="Q67">
    <cfRule type="cellIs" dxfId="114" priority="170" operator="equal">
      <formula>"Moderado"</formula>
    </cfRule>
    <cfRule type="cellIs" dxfId="113" priority="171" operator="equal">
      <formula>"Bajo"</formula>
    </cfRule>
    <cfRule type="cellIs" dxfId="112" priority="168" operator="equal">
      <formula>"Extremo"</formula>
    </cfRule>
    <cfRule type="cellIs" dxfId="111" priority="169" operator="equal">
      <formula>"Alto"</formula>
    </cfRule>
  </conditionalFormatting>
  <conditionalFormatting sqref="Q73">
    <cfRule type="cellIs" dxfId="110" priority="162" operator="equal">
      <formula>"Bajo"</formula>
    </cfRule>
    <cfRule type="cellIs" dxfId="109" priority="159" operator="equal">
      <formula>"Extremo"</formula>
    </cfRule>
    <cfRule type="cellIs" dxfId="108" priority="160" operator="equal">
      <formula>"Alto"</formula>
    </cfRule>
    <cfRule type="cellIs" dxfId="107" priority="161" operator="equal">
      <formula>"Moderado"</formula>
    </cfRule>
  </conditionalFormatting>
  <conditionalFormatting sqref="Q79">
    <cfRule type="cellIs" dxfId="106" priority="153" operator="equal">
      <formula>"Bajo"</formula>
    </cfRule>
    <cfRule type="cellIs" dxfId="105" priority="150" operator="equal">
      <formula>"Extremo"</formula>
    </cfRule>
    <cfRule type="cellIs" dxfId="104" priority="151" operator="equal">
      <formula>"Alto"</formula>
    </cfRule>
    <cfRule type="cellIs" dxfId="103" priority="152" operator="equal">
      <formula>"Moderado"</formula>
    </cfRule>
  </conditionalFormatting>
  <conditionalFormatting sqref="Q85">
    <cfRule type="cellIs" dxfId="102" priority="141" operator="equal">
      <formula>"Extremo"</formula>
    </cfRule>
    <cfRule type="cellIs" dxfId="101" priority="142" operator="equal">
      <formula>"Alto"</formula>
    </cfRule>
    <cfRule type="cellIs" dxfId="100" priority="143" operator="equal">
      <formula>"Moderado"</formula>
    </cfRule>
    <cfRule type="cellIs" dxfId="99" priority="144" operator="equal">
      <formula>"Bajo"</formula>
    </cfRule>
  </conditionalFormatting>
  <conditionalFormatting sqref="Q91">
    <cfRule type="cellIs" dxfId="98" priority="134" operator="equal">
      <formula>"Moderado"</formula>
    </cfRule>
    <cfRule type="cellIs" dxfId="97" priority="135" operator="equal">
      <formula>"Bajo"</formula>
    </cfRule>
    <cfRule type="cellIs" dxfId="96" priority="133" operator="equal">
      <formula>"Alto"</formula>
    </cfRule>
    <cfRule type="cellIs" dxfId="95" priority="132" operator="equal">
      <formula>"Extremo"</formula>
    </cfRule>
  </conditionalFormatting>
  <conditionalFormatting sqref="Q97">
    <cfRule type="cellIs" dxfId="94" priority="123" operator="equal">
      <formula>"Extremo"</formula>
    </cfRule>
    <cfRule type="cellIs" dxfId="93" priority="126" operator="equal">
      <formula>"Bajo"</formula>
    </cfRule>
    <cfRule type="cellIs" dxfId="92" priority="125" operator="equal">
      <formula>"Moderado"</formula>
    </cfRule>
    <cfRule type="cellIs" dxfId="91" priority="124" operator="equal">
      <formula>"Alto"</formula>
    </cfRule>
  </conditionalFormatting>
  <conditionalFormatting sqref="Q105">
    <cfRule type="cellIs" dxfId="90" priority="97" operator="equal">
      <formula>"Bajo"</formula>
    </cfRule>
    <cfRule type="cellIs" dxfId="89" priority="95" operator="equal">
      <formula>"Alto"</formula>
    </cfRule>
    <cfRule type="cellIs" dxfId="88" priority="94" operator="equal">
      <formula>"Extremo"</formula>
    </cfRule>
    <cfRule type="cellIs" dxfId="87" priority="96" operator="equal">
      <formula>"Moderado"</formula>
    </cfRule>
  </conditionalFormatting>
  <conditionalFormatting sqref="Q111">
    <cfRule type="cellIs" dxfId="86" priority="85" operator="equal">
      <formula>"Extremo"</formula>
    </cfRule>
    <cfRule type="cellIs" dxfId="85" priority="86" operator="equal">
      <formula>"Alto"</formula>
    </cfRule>
    <cfRule type="cellIs" dxfId="84" priority="87" operator="equal">
      <formula>"Moderado"</formula>
    </cfRule>
    <cfRule type="cellIs" dxfId="83" priority="88" operator="equal">
      <formula>"Bajo"</formula>
    </cfRule>
  </conditionalFormatting>
  <conditionalFormatting sqref="Q117">
    <cfRule type="cellIs" dxfId="82" priority="77" operator="equal">
      <formula>"Alto"</formula>
    </cfRule>
    <cfRule type="cellIs" dxfId="81" priority="78" operator="equal">
      <formula>"Moderado"</formula>
    </cfRule>
    <cfRule type="cellIs" dxfId="80" priority="79" operator="equal">
      <formula>"Bajo"</formula>
    </cfRule>
    <cfRule type="cellIs" dxfId="79" priority="76" operator="equal">
      <formula>"Extremo"</formula>
    </cfRule>
  </conditionalFormatting>
  <conditionalFormatting sqref="Q123">
    <cfRule type="cellIs" dxfId="78" priority="67" operator="equal">
      <formula>"Extremo"</formula>
    </cfRule>
    <cfRule type="cellIs" dxfId="77" priority="68" operator="equal">
      <formula>"Alto"</formula>
    </cfRule>
    <cfRule type="cellIs" dxfId="76" priority="70" operator="equal">
      <formula>"Bajo"</formula>
    </cfRule>
    <cfRule type="cellIs" dxfId="75" priority="69" operator="equal">
      <formula>"Moderado"</formula>
    </cfRule>
  </conditionalFormatting>
  <conditionalFormatting sqref="Q129">
    <cfRule type="cellIs" dxfId="74" priority="58" operator="equal">
      <formula>"Extremo"</formula>
    </cfRule>
    <cfRule type="cellIs" dxfId="73" priority="61" operator="equal">
      <formula>"Bajo"</formula>
    </cfRule>
    <cfRule type="cellIs" dxfId="72" priority="60" operator="equal">
      <formula>"Moderado"</formula>
    </cfRule>
    <cfRule type="cellIs" dxfId="71" priority="59" operator="equal">
      <formula>"Alto"</formula>
    </cfRule>
  </conditionalFormatting>
  <conditionalFormatting sqref="Q137">
    <cfRule type="cellIs" dxfId="70" priority="29" operator="equal">
      <formula>"Extremo"</formula>
    </cfRule>
    <cfRule type="cellIs" dxfId="69" priority="30" operator="equal">
      <formula>"Alto"</formula>
    </cfRule>
    <cfRule type="cellIs" dxfId="68" priority="31" operator="equal">
      <formula>"Moderado"</formula>
    </cfRule>
    <cfRule type="cellIs" dxfId="67" priority="32" operator="equal">
      <formula>"Bajo"</formula>
    </cfRule>
  </conditionalFormatting>
  <conditionalFormatting sqref="Q143">
    <cfRule type="cellIs" dxfId="66" priority="25" operator="equal">
      <formula>"Extremo"</formula>
    </cfRule>
    <cfRule type="cellIs" dxfId="65" priority="26" operator="equal">
      <formula>"Alto"</formula>
    </cfRule>
    <cfRule type="cellIs" dxfId="64" priority="27" operator="equal">
      <formula>"Moderado"</formula>
    </cfRule>
    <cfRule type="cellIs" dxfId="63" priority="28" operator="equal">
      <formula>"Bajo"</formula>
    </cfRule>
  </conditionalFormatting>
  <conditionalFormatting sqref="Q149">
    <cfRule type="cellIs" dxfId="62" priority="17" operator="equal">
      <formula>"Alto"</formula>
    </cfRule>
    <cfRule type="cellIs" dxfId="61" priority="18" operator="equal">
      <formula>"Moderado"</formula>
    </cfRule>
    <cfRule type="cellIs" dxfId="60" priority="19" operator="equal">
      <formula>"Bajo"</formula>
    </cfRule>
    <cfRule type="cellIs" dxfId="59" priority="16" operator="equal">
      <formula>"Extremo"</formula>
    </cfRule>
  </conditionalFormatting>
  <conditionalFormatting sqref="AB10:AB39">
    <cfRule type="cellIs" dxfId="58" priority="251" operator="equal">
      <formula>"Muy Alta"</formula>
    </cfRule>
    <cfRule type="cellIs" dxfId="57" priority="252" operator="equal">
      <formula>"Alta"</formula>
    </cfRule>
    <cfRule type="cellIs" dxfId="56" priority="253" operator="equal">
      <formula>"Media"</formula>
    </cfRule>
    <cfRule type="cellIs" dxfId="55" priority="254" operator="equal">
      <formula>"Baja"</formula>
    </cfRule>
    <cfRule type="cellIs" dxfId="54" priority="255" operator="equal">
      <formula>"Muy Baja"</formula>
    </cfRule>
  </conditionalFormatting>
  <conditionalFormatting sqref="AB43:AB102">
    <cfRule type="cellIs" dxfId="53" priority="121" operator="equal">
      <formula>"Baja"</formula>
    </cfRule>
    <cfRule type="cellIs" dxfId="52" priority="120" operator="equal">
      <formula>"Media"</formula>
    </cfRule>
    <cfRule type="cellIs" dxfId="51" priority="119" operator="equal">
      <formula>"Alta"</formula>
    </cfRule>
    <cfRule type="cellIs" dxfId="50" priority="118" operator="equal">
      <formula>"Muy Alta"</formula>
    </cfRule>
    <cfRule type="cellIs" dxfId="49" priority="122" operator="equal">
      <formula>"Muy Baja"</formula>
    </cfRule>
  </conditionalFormatting>
  <conditionalFormatting sqref="AB105:AB134">
    <cfRule type="cellIs" dxfId="48" priority="54" operator="equal">
      <formula>"Alta"</formula>
    </cfRule>
    <cfRule type="cellIs" dxfId="47" priority="55" operator="equal">
      <formula>"Media"</formula>
    </cfRule>
    <cfRule type="cellIs" dxfId="46" priority="57" operator="equal">
      <formula>"Muy Baja"</formula>
    </cfRule>
    <cfRule type="cellIs" dxfId="45" priority="53" operator="equal">
      <formula>"Muy Alta"</formula>
    </cfRule>
    <cfRule type="cellIs" dxfId="44" priority="56" operator="equal">
      <formula>"Baja"</formula>
    </cfRule>
  </conditionalFormatting>
  <conditionalFormatting sqref="AB137:AB154">
    <cfRule type="cellIs" dxfId="43" priority="13" operator="equal">
      <formula>"Media"</formula>
    </cfRule>
    <cfRule type="cellIs" dxfId="42" priority="14" operator="equal">
      <formula>"Baja"</formula>
    </cfRule>
    <cfRule type="cellIs" dxfId="41" priority="15" operator="equal">
      <formula>"Muy Baja"</formula>
    </cfRule>
    <cfRule type="cellIs" dxfId="40" priority="12" operator="equal">
      <formula>"Alta"</formula>
    </cfRule>
    <cfRule type="cellIs" dxfId="39" priority="11" operator="equal">
      <formula>"Muy Alta"</formula>
    </cfRule>
  </conditionalFormatting>
  <conditionalFormatting sqref="AD10:AD39">
    <cfRule type="cellIs" dxfId="38" priority="250" operator="equal">
      <formula>"Leve"</formula>
    </cfRule>
    <cfRule type="cellIs" dxfId="37" priority="249" operator="equal">
      <formula>"Menor"</formula>
    </cfRule>
    <cfRule type="cellIs" dxfId="36" priority="248" operator="equal">
      <formula>"Moderado"</formula>
    </cfRule>
    <cfRule type="cellIs" dxfId="35" priority="247" operator="equal">
      <formula>"Mayor"</formula>
    </cfRule>
    <cfRule type="cellIs" dxfId="34" priority="246" operator="equal">
      <formula>"Catastrófico"</formula>
    </cfRule>
  </conditionalFormatting>
  <conditionalFormatting sqref="AD43:AD102">
    <cfRule type="cellIs" dxfId="33" priority="115" operator="equal">
      <formula>"Moderado"</formula>
    </cfRule>
    <cfRule type="cellIs" dxfId="32" priority="113" operator="equal">
      <formula>"Catastrófico"</formula>
    </cfRule>
    <cfRule type="cellIs" dxfId="31" priority="117" operator="equal">
      <formula>"Leve"</formula>
    </cfRule>
    <cfRule type="cellIs" dxfId="30" priority="116" operator="equal">
      <formula>"Menor"</formula>
    </cfRule>
    <cfRule type="cellIs" dxfId="29" priority="114" operator="equal">
      <formula>"Mayor"</formula>
    </cfRule>
  </conditionalFormatting>
  <conditionalFormatting sqref="AD105:AD134">
    <cfRule type="cellIs" dxfId="28" priority="50" operator="equal">
      <formula>"Moderado"</formula>
    </cfRule>
    <cfRule type="cellIs" dxfId="27" priority="49" operator="equal">
      <formula>"Mayor"</formula>
    </cfRule>
    <cfRule type="cellIs" dxfId="26" priority="48" operator="equal">
      <formula>"Catastrófico"</formula>
    </cfRule>
    <cfRule type="cellIs" dxfId="25" priority="52" operator="equal">
      <formula>"Leve"</formula>
    </cfRule>
    <cfRule type="cellIs" dxfId="24" priority="51" operator="equal">
      <formula>"Menor"</formula>
    </cfRule>
  </conditionalFormatting>
  <conditionalFormatting sqref="AD137:AD154">
    <cfRule type="cellIs" dxfId="23" priority="10" operator="equal">
      <formula>"Leve"</formula>
    </cfRule>
    <cfRule type="cellIs" dxfId="22" priority="9" operator="equal">
      <formula>"Menor"</formula>
    </cfRule>
    <cfRule type="cellIs" dxfId="21" priority="8" operator="equal">
      <formula>"Moderado"</formula>
    </cfRule>
    <cfRule type="cellIs" dxfId="20" priority="7" operator="equal">
      <formula>"Mayor"</formula>
    </cfRule>
    <cfRule type="cellIs" dxfId="19" priority="6" operator="equal">
      <formula>"Catastrófico"</formula>
    </cfRule>
  </conditionalFormatting>
  <conditionalFormatting sqref="AF10:AF39">
    <cfRule type="cellIs" dxfId="18" priority="245" operator="equal">
      <formula>"Bajo"</formula>
    </cfRule>
    <cfRule type="cellIs" dxfId="17" priority="242" operator="equal">
      <formula>"Extremo"</formula>
    </cfRule>
    <cfRule type="cellIs" dxfId="16" priority="243" operator="equal">
      <formula>"Alto"</formula>
    </cfRule>
    <cfRule type="cellIs" dxfId="15" priority="244" operator="equal">
      <formula>"Moderado"</formula>
    </cfRule>
  </conditionalFormatting>
  <conditionalFormatting sqref="AF43:AF102">
    <cfRule type="cellIs" dxfId="14" priority="111" operator="equal">
      <formula>"Moderado"</formula>
    </cfRule>
    <cfRule type="cellIs" dxfId="13" priority="112" operator="equal">
      <formula>"Bajo"</formula>
    </cfRule>
    <cfRule type="cellIs" dxfId="12" priority="109" operator="equal">
      <formula>"Extremo"</formula>
    </cfRule>
    <cfRule type="cellIs" dxfId="11" priority="110" operator="equal">
      <formula>"Alto"</formula>
    </cfRule>
  </conditionalFormatting>
  <conditionalFormatting sqref="AF105:AF134">
    <cfRule type="cellIs" dxfId="10" priority="45" operator="equal">
      <formula>"Alto"</formula>
    </cfRule>
    <cfRule type="cellIs" dxfId="9" priority="46" operator="equal">
      <formula>"Moderado"</formula>
    </cfRule>
    <cfRule type="cellIs" dxfId="8" priority="44" operator="equal">
      <formula>"Extremo"</formula>
    </cfRule>
    <cfRule type="cellIs" dxfId="7" priority="47" operator="equal">
      <formula>"Bajo"</formula>
    </cfRule>
  </conditionalFormatting>
  <conditionalFormatting sqref="AF137:AF154">
    <cfRule type="cellIs" dxfId="6" priority="3" operator="equal">
      <formula>"Alto"</formula>
    </cfRule>
    <cfRule type="cellIs" dxfId="5" priority="2" operator="equal">
      <formula>"Extremo"</formula>
    </cfRule>
    <cfRule type="cellIs" dxfId="4" priority="5" operator="equal">
      <formula>"Bajo"</formula>
    </cfRule>
    <cfRule type="cellIs" dxfId="3" priority="4" operator="equal">
      <formula>"Moderado"</formula>
    </cfRule>
  </conditionalFormatting>
  <pageMargins left="0.7" right="0.7" top="0.75" bottom="0.75" header="0.3" footer="0.3"/>
  <pageSetup orientation="portrait" r:id="rId1"/>
  <ignoredErrors>
    <ignoredError sqref="AE12" formula="1"/>
  </ignoredErrors>
  <drawing r:id="rId2"/>
  <extLst>
    <ext xmlns:x14="http://schemas.microsoft.com/office/spreadsheetml/2009/9/main" uri="{CCE6A557-97BC-4b89-ADB6-D9C93CAAB3DF}">
      <x14:dataValidations xmlns:xm="http://schemas.microsoft.com/office/excel/2006/main" count="20">
        <x14:dataValidation type="list" allowBlank="1" showInputMessage="1" showErrorMessage="1" xr:uid="{97BAF1AF-F9DA-491A-B6DF-9BA7957E3CAB}">
          <x14:formula1>
            <xm:f>'Opciones Tratamiento'!$B$9:$B$10</xm:f>
          </x14:formula1>
          <xm:sqref>AQ10:AQ14 AQ16:AQ17 AQ19:AQ20 AQ22:AQ26 AQ28:AQ29 AQ31:AQ32 AQ34:AQ35 AQ37:AQ38</xm:sqref>
        </x14:dataValidation>
        <x14:dataValidation type="list" allowBlank="1" showInputMessage="1" showErrorMessage="1" xr:uid="{B2A8A020-9523-46CD-9762-67A5B850A69F}">
          <x14:formula1>
            <xm:f>'Opciones Tratamiento'!$B$13:$B$19</xm:f>
          </x14:formula1>
          <xm:sqref>I10:I39</xm:sqref>
        </x14:dataValidation>
        <x14:dataValidation type="list" allowBlank="1" showInputMessage="1" showErrorMessage="1" xr:uid="{05EF4D1D-8C42-4D3D-B7F4-EB56299F5426}">
          <x14:formula1>
            <xm:f>'Opciones Tratamiento'!$B$2:$B$5</xm:f>
          </x14:formula1>
          <xm:sqref>AG10 AG12:AG22 AG24:AG39</xm:sqref>
        </x14:dataValidation>
        <x14:dataValidation type="list" allowBlank="1" showInputMessage="1" showErrorMessage="1" xr:uid="{C476B89A-F5F4-4B73-B6CE-2C3E65035A6B}">
          <x14:formula1>
            <xm:f>'Tabla Impacto'!$F$210:$F$221</xm:f>
          </x14:formula1>
          <xm:sqref>M10:M39</xm:sqref>
        </x14:dataValidation>
        <x14:dataValidation type="list" allowBlank="1" showInputMessage="1" showErrorMessage="1" xr:uid="{1D962194-6ACA-4D93-9989-F8FBC70A95B3}">
          <x14:formula1>
            <xm:f>'Opciones Tratamiento'!$E$2:$E$4</xm:f>
          </x14:formula1>
          <xm:sqref>B10:B39</xm:sqref>
        </x14:dataValidation>
        <x14:dataValidation type="list" allowBlank="1" showInputMessage="1" showErrorMessage="1" xr:uid="{FDB7EFE1-E4B8-49C2-94D9-1905B85CF5FE}">
          <x14:formula1>
            <xm:f>DATOS!$A$2:$A$11</xm:f>
          </x14:formula1>
          <xm:sqref>C28 C34:C39 C10:C22</xm:sqref>
        </x14:dataValidation>
        <x14:dataValidation type="list" allowBlank="1" showInputMessage="1" showErrorMessage="1" xr:uid="{71ECF0BC-7865-4927-B2F7-B3A40D25BBC9}">
          <x14:formula1>
            <xm:f>DATOS!$C$2:$C$5</xm:f>
          </x14:formula1>
          <xm:sqref>D28 D34:D39 D10:D22</xm:sqref>
        </x14:dataValidation>
        <x14:dataValidation type="list" allowBlank="1" showInputMessage="1" showErrorMessage="1" xr:uid="{FAE44D9D-1B4A-4268-825D-5AE1FAB65ACF}">
          <x14:formula1>
            <xm:f>Hoja4!$C$4:$C$20</xm:f>
          </x14:formula1>
          <xm:sqref>E28 E34:E39 E10:E22</xm:sqref>
        </x14:dataValidation>
        <x14:dataValidation type="custom" allowBlank="1" showInputMessage="1" showErrorMessage="1" error="Recuerde que las acciones se generan bajo la medida de mitigar el riesgo" xr:uid="{5AD30980-FA6C-47FE-8606-277843595EB8}">
          <x14:formula1>
            <xm:f>IF(OR(AG10='Opciones Tratamiento'!$B$2,AG10='Opciones Tratamiento'!$B$3,AG10='Opciones Tratamiento'!$B$4),ISBLANK(AG10),ISTEXT(AG10))</xm:f>
          </x14:formula1>
          <xm:sqref>AH10:AH39</xm:sqref>
        </x14:dataValidation>
        <x14:dataValidation type="custom" allowBlank="1" showInputMessage="1" showErrorMessage="1" error="Recuerde que las acciones se generan bajo la medida de mitigar el riesgo" xr:uid="{247E0963-F2A9-49DC-81F7-9A7140520573}">
          <x14:formula1>
            <xm:f>IF(OR(AI10='Opciones Tratamiento'!$B$2,AI10='Opciones Tratamiento'!$B$3,AI10='Opciones Tratamiento'!$B$4),ISBLANK(AI10),ISTEXT(AI10))</xm:f>
          </x14:formula1>
          <xm:sqref>AK10:AL39 AM10:AP12 AM16:AO16 AM22:AP24</xm:sqref>
        </x14:dataValidation>
        <x14:dataValidation type="list" allowBlank="1" showInputMessage="1" showErrorMessage="1" xr:uid="{61A4FFCD-5A21-4D3A-AD90-27FC532E79DB}">
          <x14:formula1>
            <xm:f>'Tabla Valoración controles'!$D$4:$D$6</xm:f>
          </x14:formula1>
          <xm:sqref>U10:U39</xm:sqref>
        </x14:dataValidation>
        <x14:dataValidation type="list" allowBlank="1" showInputMessage="1" showErrorMessage="1" xr:uid="{27175B1B-282F-4F13-B782-15758360675D}">
          <x14:formula1>
            <xm:f>'Tabla Valoración controles'!$D$7:$D$8</xm:f>
          </x14:formula1>
          <xm:sqref>V10:V39</xm:sqref>
        </x14:dataValidation>
        <x14:dataValidation type="list" allowBlank="1" showInputMessage="1" showErrorMessage="1" xr:uid="{2CEFF3A5-BE51-4BDA-AE21-A41BE28E6115}">
          <x14:formula1>
            <xm:f>'Tabla Valoración controles'!$D$9:$D$10</xm:f>
          </x14:formula1>
          <xm:sqref>X10:X39</xm:sqref>
        </x14:dataValidation>
        <x14:dataValidation type="list" allowBlank="1" showInputMessage="1" showErrorMessage="1" xr:uid="{EB3069F1-421A-40BA-B816-1D400071B3EC}">
          <x14:formula1>
            <xm:f>'Tabla Valoración controles'!$D$11:$D$12</xm:f>
          </x14:formula1>
          <xm:sqref>Y10:Y39</xm:sqref>
        </x14:dataValidation>
        <x14:dataValidation type="list" allowBlank="1" showInputMessage="1" showErrorMessage="1" xr:uid="{BFE25BC2-E3D4-438F-977D-1AB344298257}">
          <x14:formula1>
            <xm:f>'Tabla Valoración controles'!$D$13:$D$14</xm:f>
          </x14:formula1>
          <xm:sqref>Z10:Z39</xm:sqref>
        </x14:dataValidation>
        <x14:dataValidation type="list" allowBlank="1" showInputMessage="1" showErrorMessage="1" error="Recuerde que las acciones se generan bajo la medida de mitigar el riesgo" xr:uid="{00AAC995-80C6-4F0A-807E-6AD9109E37CE}">
          <x14:formula1>
            <xm:f>DATOS!$G$2:$G$3</xm:f>
          </x14:formula1>
          <xm:sqref>AI10:AJ39</xm:sqref>
        </x14:dataValidation>
        <x14:dataValidation type="custom" allowBlank="1" showInputMessage="1" showErrorMessage="1" error="Recuerde que las acciones se generan bajo la medida de mitigar el riesgo" xr:uid="{B0BEA55D-E02B-4DE9-B3B8-0DA6F36E9AEF}">
          <x14:formula1>
            <xm:f>IF(OR(AG13='Opciones Tratamiento'!$B$2,AG13='Opciones Tratamiento'!$B$3,AG13='Opciones Tratamiento'!$B$4),ISBLANK(AG13),ISTEXT(AG13))</xm:f>
          </x14:formula1>
          <xm:sqref>AM13:AM15 AM17:AM21 AM25:AM39</xm:sqref>
        </x14:dataValidation>
        <x14:dataValidation type="custom" allowBlank="1" showInputMessage="1" showErrorMessage="1" error="Recuerde que las acciones se generan bajo la medida de mitigar el riesgo" xr:uid="{CE168521-780A-466D-9DF8-53B46D93AB06}">
          <x14:formula1>
            <xm:f>IF(OR(AG13='Opciones Tratamiento'!$B$2,AG13='Opciones Tratamiento'!$B$3,AG13='Opciones Tratamiento'!$B$4),ISBLANK(AG13),ISTEXT(AG13))</xm:f>
          </x14:formula1>
          <xm:sqref>AN13:AN15 AN17:AN21 AN25:AN39</xm:sqref>
        </x14:dataValidation>
        <x14:dataValidation type="custom" allowBlank="1" showInputMessage="1" showErrorMessage="1" error="Recuerde que las acciones se generan bajo la medida de mitigar el riesgo" xr:uid="{682A92D7-CB57-4D76-B08F-7650DAA9A75B}">
          <x14:formula1>
            <xm:f>IF(OR(AG13='Opciones Tratamiento'!$B$2,AG13='Opciones Tratamiento'!$B$3,AG13='Opciones Tratamiento'!$B$4),ISBLANK(AG13),ISTEXT(AG13))</xm:f>
          </x14:formula1>
          <xm:sqref>AO13:AO15 AO17:AO21 AO25:AO39</xm:sqref>
        </x14:dataValidation>
        <x14:dataValidation type="custom" allowBlank="1" showInputMessage="1" showErrorMessage="1" error="Recuerde que las acciones se generan bajo la medida de mitigar el riesgo" xr:uid="{AE7FA1E3-3BE0-4115-AC17-B88D302B2FF0}">
          <x14:formula1>
            <xm:f>IF(OR(AG13='Opciones Tratamiento'!$B$2,AG13='Opciones Tratamiento'!$B$3,AG13='Opciones Tratamiento'!$B$4),ISBLANK(AG13),ISTEXT(AG13))</xm:f>
          </x14:formula1>
          <xm:sqref>AP13:AP21 AP25:AP39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6" zoomScale="50" zoomScaleNormal="50" workbookViewId="0">
      <selection activeCell="A18" sqref="A18"/>
    </sheetView>
  </sheetViews>
  <sheetFormatPr baseColWidth="10" defaultRowHeight="15" x14ac:dyDescent="0.25"/>
  <cols>
    <col min="2" max="39" width="5.7109375" customWidth="1"/>
    <col min="41" max="46" width="5.7109375" customWidth="1"/>
  </cols>
  <sheetData>
    <row r="1" spans="1:99" x14ac:dyDescent="0.25">
      <c r="A1" s="77"/>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c r="CN1" s="77"/>
      <c r="CO1" s="77"/>
      <c r="CP1" s="77"/>
      <c r="CQ1" s="77"/>
      <c r="CR1" s="77"/>
      <c r="CS1" s="77"/>
      <c r="CT1" s="77"/>
      <c r="CU1" s="77"/>
    </row>
    <row r="2" spans="1:99" ht="18" customHeight="1" x14ac:dyDescent="0.25">
      <c r="A2" s="77"/>
      <c r="B2" s="342" t="s">
        <v>154</v>
      </c>
      <c r="C2" s="342"/>
      <c r="D2" s="342"/>
      <c r="E2" s="342"/>
      <c r="F2" s="342"/>
      <c r="G2" s="342"/>
      <c r="H2" s="342"/>
      <c r="I2" s="342"/>
      <c r="J2" s="379" t="s">
        <v>2</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77"/>
      <c r="CK2" s="77"/>
      <c r="CL2" s="77"/>
      <c r="CM2" s="77"/>
      <c r="CN2" s="77"/>
      <c r="CO2" s="77"/>
      <c r="CP2" s="77"/>
      <c r="CQ2" s="77"/>
      <c r="CR2" s="77"/>
      <c r="CS2" s="77"/>
      <c r="CT2" s="77"/>
      <c r="CU2" s="77"/>
    </row>
    <row r="3" spans="1:99" ht="18.75" customHeight="1" x14ac:dyDescent="0.25">
      <c r="A3" s="77"/>
      <c r="B3" s="342"/>
      <c r="C3" s="342"/>
      <c r="D3" s="342"/>
      <c r="E3" s="342"/>
      <c r="F3" s="342"/>
      <c r="G3" s="342"/>
      <c r="H3" s="342"/>
      <c r="I3" s="342"/>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row>
    <row r="4" spans="1:99" ht="15" customHeight="1" x14ac:dyDescent="0.25">
      <c r="A4" s="77"/>
      <c r="B4" s="342"/>
      <c r="C4" s="342"/>
      <c r="D4" s="342"/>
      <c r="E4" s="342"/>
      <c r="F4" s="342"/>
      <c r="G4" s="342"/>
      <c r="H4" s="342"/>
      <c r="I4" s="342"/>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row>
    <row r="5" spans="1:99" ht="15.75" thickBot="1" x14ac:dyDescent="0.3">
      <c r="A5" s="77"/>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7"/>
      <c r="CD5" s="77"/>
      <c r="CE5" s="77"/>
      <c r="CF5" s="77"/>
      <c r="CG5" s="77"/>
      <c r="CH5" s="77"/>
      <c r="CI5" s="77"/>
      <c r="CJ5" s="77"/>
      <c r="CK5" s="77"/>
      <c r="CL5" s="77"/>
      <c r="CM5" s="77"/>
      <c r="CN5" s="77"/>
      <c r="CO5" s="77"/>
      <c r="CP5" s="77"/>
      <c r="CQ5" s="77"/>
      <c r="CR5" s="77"/>
      <c r="CS5" s="77"/>
      <c r="CT5" s="77"/>
      <c r="CU5" s="77"/>
    </row>
    <row r="6" spans="1:99" ht="15" customHeight="1" x14ac:dyDescent="0.25">
      <c r="A6" s="77"/>
      <c r="B6" s="390" t="s">
        <v>3</v>
      </c>
      <c r="C6" s="390"/>
      <c r="D6" s="391"/>
      <c r="E6" s="380" t="s">
        <v>113</v>
      </c>
      <c r="F6" s="381"/>
      <c r="G6" s="381"/>
      <c r="H6" s="381"/>
      <c r="I6" s="382"/>
      <c r="J6" s="376" t="str">
        <f>IF(AND(Riesgos!$K$10="Muy Alta",Riesgos!$O$10="Leve"),CONCATENATE("R",Riesgos!$A$10),"")</f>
        <v/>
      </c>
      <c r="K6" s="377"/>
      <c r="L6" s="377" t="str">
        <f>IF(AND(Riesgos!$K$16="Muy Alta",Riesgos!$O$16="Leve"),CONCATENATE("R",Riesgos!$A$16),"")</f>
        <v/>
      </c>
      <c r="M6" s="377"/>
      <c r="N6" s="377" t="e">
        <f>IF(AND(Riesgos!#REF!="Muy Alta",Riesgos!#REF!="Leve"),CONCATENATE("R",Riesgos!#REF!),"")</f>
        <v>#REF!</v>
      </c>
      <c r="O6" s="378"/>
      <c r="P6" s="376" t="str">
        <f>IF(AND(Riesgos!$K$10="Muy Alta",Riesgos!$O$10="Menor"),CONCATENATE("R",Riesgos!$A$10),"")</f>
        <v/>
      </c>
      <c r="Q6" s="377"/>
      <c r="R6" s="377" t="str">
        <f>IF(AND(Riesgos!$K$16="Muy Alta",Riesgos!$O$16="Menor"),CONCATENATE("R",Riesgos!$A$16),"")</f>
        <v/>
      </c>
      <c r="S6" s="377"/>
      <c r="T6" s="377" t="e">
        <f>IF(AND(Riesgos!#REF!="Muy Alta",Riesgos!#REF!="Menor"),CONCATENATE("R",Riesgos!#REF!),"")</f>
        <v>#REF!</v>
      </c>
      <c r="U6" s="378"/>
      <c r="V6" s="376" t="str">
        <f>IF(AND(Riesgos!$K$10="Muy Alta",Riesgos!$O$10="Moderado"),CONCATENATE("R",Riesgos!$A$10),"")</f>
        <v/>
      </c>
      <c r="W6" s="377"/>
      <c r="X6" s="377" t="str">
        <f>IF(AND(Riesgos!$K$16="Muy Alta",Riesgos!$O$16="Moderado"),CONCATENATE("R",Riesgos!$A$16),"")</f>
        <v/>
      </c>
      <c r="Y6" s="377"/>
      <c r="Z6" s="377" t="e">
        <f>IF(AND(Riesgos!#REF!="Muy Alta",Riesgos!#REF!="Moderado"),CONCATENATE("R",Riesgos!#REF!),"")</f>
        <v>#REF!</v>
      </c>
      <c r="AA6" s="378"/>
      <c r="AB6" s="376" t="str">
        <f>IF(AND(Riesgos!$K$10="Muy Alta",Riesgos!$O$10="Mayor"),CONCATENATE("R",Riesgos!$A$10),"")</f>
        <v/>
      </c>
      <c r="AC6" s="377"/>
      <c r="AD6" s="377" t="str">
        <f>IF(AND(Riesgos!$K$16="Muy Alta",Riesgos!$O$16="Mayor"),CONCATENATE("R",Riesgos!$A$16),"")</f>
        <v/>
      </c>
      <c r="AE6" s="377"/>
      <c r="AF6" s="377" t="e">
        <f>IF(AND(Riesgos!#REF!="Muy Alta",Riesgos!#REF!="Mayor"),CONCATENATE("R",Riesgos!#REF!),"")</f>
        <v>#REF!</v>
      </c>
      <c r="AG6" s="378"/>
      <c r="AH6" s="367" t="str">
        <f>IF(AND(Riesgos!$K$10="Muy Alta",Riesgos!$O$10="Catastrófico"),CONCATENATE("R",Riesgos!$A$10),"")</f>
        <v/>
      </c>
      <c r="AI6" s="368"/>
      <c r="AJ6" s="368" t="str">
        <f>IF(AND(Riesgos!$K$16="Muy Alta",Riesgos!$O$16="Catastrófico"),CONCATENATE("R",Riesgos!$A$16),"")</f>
        <v/>
      </c>
      <c r="AK6" s="368"/>
      <c r="AL6" s="368" t="e">
        <f>IF(AND(Riesgos!#REF!="Muy Alta",Riesgos!#REF!="Catastrófico"),CONCATENATE("R",Riesgos!#REF!),"")</f>
        <v>#REF!</v>
      </c>
      <c r="AM6" s="369"/>
      <c r="AO6" s="392" t="s">
        <v>76</v>
      </c>
      <c r="AP6" s="393"/>
      <c r="AQ6" s="393"/>
      <c r="AR6" s="393"/>
      <c r="AS6" s="393"/>
      <c r="AT6" s="394"/>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row>
    <row r="7" spans="1:99" ht="15" customHeight="1" x14ac:dyDescent="0.25">
      <c r="A7" s="77"/>
      <c r="B7" s="390"/>
      <c r="C7" s="390"/>
      <c r="D7" s="391"/>
      <c r="E7" s="383"/>
      <c r="F7" s="384"/>
      <c r="G7" s="384"/>
      <c r="H7" s="384"/>
      <c r="I7" s="385"/>
      <c r="J7" s="370"/>
      <c r="K7" s="371"/>
      <c r="L7" s="371"/>
      <c r="M7" s="371"/>
      <c r="N7" s="371"/>
      <c r="O7" s="372"/>
      <c r="P7" s="370"/>
      <c r="Q7" s="371"/>
      <c r="R7" s="371"/>
      <c r="S7" s="371"/>
      <c r="T7" s="371"/>
      <c r="U7" s="372"/>
      <c r="V7" s="370"/>
      <c r="W7" s="371"/>
      <c r="X7" s="371"/>
      <c r="Y7" s="371"/>
      <c r="Z7" s="371"/>
      <c r="AA7" s="372"/>
      <c r="AB7" s="370"/>
      <c r="AC7" s="371"/>
      <c r="AD7" s="371"/>
      <c r="AE7" s="371"/>
      <c r="AF7" s="371"/>
      <c r="AG7" s="372"/>
      <c r="AH7" s="361"/>
      <c r="AI7" s="362"/>
      <c r="AJ7" s="362"/>
      <c r="AK7" s="362"/>
      <c r="AL7" s="362"/>
      <c r="AM7" s="363"/>
      <c r="AN7" s="77"/>
      <c r="AO7" s="395"/>
      <c r="AP7" s="396"/>
      <c r="AQ7" s="396"/>
      <c r="AR7" s="396"/>
      <c r="AS7" s="396"/>
      <c r="AT7" s="39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row>
    <row r="8" spans="1:99" ht="15" customHeight="1" x14ac:dyDescent="0.25">
      <c r="A8" s="77"/>
      <c r="B8" s="390"/>
      <c r="C8" s="390"/>
      <c r="D8" s="391"/>
      <c r="E8" s="383"/>
      <c r="F8" s="384"/>
      <c r="G8" s="384"/>
      <c r="H8" s="384"/>
      <c r="I8" s="385"/>
      <c r="J8" s="370" t="str">
        <f>IF(AND(Riesgos!$K$22="Muy Alta",Riesgos!$O$22="Leve"),CONCATENATE("R",Riesgos!$A$22),"")</f>
        <v/>
      </c>
      <c r="K8" s="371"/>
      <c r="L8" s="371" t="str">
        <f>IF(AND(Riesgos!$K$28="Muy Alta",Riesgos!$O$28="Leve"),CONCATENATE("R",Riesgos!$A$28),"")</f>
        <v/>
      </c>
      <c r="M8" s="371"/>
      <c r="N8" s="371" t="str">
        <f>IF(AND(Riesgos!$K$34="Muy Alta",Riesgos!$O$34="Leve"),CONCATENATE("R",Riesgos!$A$34),"")</f>
        <v/>
      </c>
      <c r="O8" s="372"/>
      <c r="P8" s="370" t="str">
        <f>IF(AND(Riesgos!$K$22="Muy Alta",Riesgos!$O$22="Menor"),CONCATENATE("R",Riesgos!$A$22),"")</f>
        <v/>
      </c>
      <c r="Q8" s="371"/>
      <c r="R8" s="371" t="str">
        <f>IF(AND(Riesgos!$K$28="Muy Alta",Riesgos!$O$28="Menor"),CONCATENATE("R",Riesgos!$A$28),"")</f>
        <v/>
      </c>
      <c r="S8" s="371"/>
      <c r="T8" s="371" t="str">
        <f>IF(AND(Riesgos!$K$34="Muy Alta",Riesgos!$O$34="Menor"),CONCATENATE("R",Riesgos!$A$34),"")</f>
        <v/>
      </c>
      <c r="U8" s="372"/>
      <c r="V8" s="370" t="str">
        <f>IF(AND(Riesgos!$K$22="Muy Alta",Riesgos!$O$22="Moderado"),CONCATENATE("R",Riesgos!$A$22),"")</f>
        <v/>
      </c>
      <c r="W8" s="371"/>
      <c r="X8" s="371" t="str">
        <f>IF(AND(Riesgos!$K$28="Muy Alta",Riesgos!$O$28="Moderado"),CONCATENATE("R",Riesgos!$A$28),"")</f>
        <v/>
      </c>
      <c r="Y8" s="371"/>
      <c r="Z8" s="371" t="str">
        <f>IF(AND(Riesgos!$K$34="Muy Alta",Riesgos!$O$34="Moderado"),CONCATENATE("R",Riesgos!$A$34),"")</f>
        <v/>
      </c>
      <c r="AA8" s="372"/>
      <c r="AB8" s="370" t="str">
        <f>IF(AND(Riesgos!$K$22="Muy Alta",Riesgos!$O$22="Mayor"),CONCATENATE("R",Riesgos!$A$22),"")</f>
        <v/>
      </c>
      <c r="AC8" s="371"/>
      <c r="AD8" s="371" t="str">
        <f>IF(AND(Riesgos!$K$28="Muy Alta",Riesgos!$O$28="Mayor"),CONCATENATE("R",Riesgos!$A$28),"")</f>
        <v/>
      </c>
      <c r="AE8" s="371"/>
      <c r="AF8" s="371" t="str">
        <f>IF(AND(Riesgos!$K$34="Muy Alta",Riesgos!$O$34="Mayor"),CONCATENATE("R",Riesgos!$A$34),"")</f>
        <v/>
      </c>
      <c r="AG8" s="372"/>
      <c r="AH8" s="361" t="str">
        <f>IF(AND(Riesgos!$K$22="Muy Alta",Riesgos!$O$22="Catastrófico"),CONCATENATE("R",Riesgos!$A$22),"")</f>
        <v/>
      </c>
      <c r="AI8" s="362"/>
      <c r="AJ8" s="362" t="str">
        <f>IF(AND(Riesgos!$K$28="Muy Alta",Riesgos!$O$28="Catastrófico"),CONCATENATE("R",Riesgos!$A$28),"")</f>
        <v/>
      </c>
      <c r="AK8" s="362"/>
      <c r="AL8" s="362" t="str">
        <f>IF(AND(Riesgos!$K$34="Muy Alta",Riesgos!$O$34="Catastrófico"),CONCATENATE("R",Riesgos!$A$34),"")</f>
        <v/>
      </c>
      <c r="AM8" s="363"/>
      <c r="AN8" s="77"/>
      <c r="AO8" s="395"/>
      <c r="AP8" s="396"/>
      <c r="AQ8" s="396"/>
      <c r="AR8" s="396"/>
      <c r="AS8" s="396"/>
      <c r="AT8" s="39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row>
    <row r="9" spans="1:99" ht="15" customHeight="1" x14ac:dyDescent="0.25">
      <c r="A9" s="77"/>
      <c r="B9" s="390"/>
      <c r="C9" s="390"/>
      <c r="D9" s="391"/>
      <c r="E9" s="383"/>
      <c r="F9" s="384"/>
      <c r="G9" s="384"/>
      <c r="H9" s="384"/>
      <c r="I9" s="385"/>
      <c r="J9" s="370"/>
      <c r="K9" s="371"/>
      <c r="L9" s="371"/>
      <c r="M9" s="371"/>
      <c r="N9" s="371"/>
      <c r="O9" s="372"/>
      <c r="P9" s="370"/>
      <c r="Q9" s="371"/>
      <c r="R9" s="371"/>
      <c r="S9" s="371"/>
      <c r="T9" s="371"/>
      <c r="U9" s="372"/>
      <c r="V9" s="370"/>
      <c r="W9" s="371"/>
      <c r="X9" s="371"/>
      <c r="Y9" s="371"/>
      <c r="Z9" s="371"/>
      <c r="AA9" s="372"/>
      <c r="AB9" s="370"/>
      <c r="AC9" s="371"/>
      <c r="AD9" s="371"/>
      <c r="AE9" s="371"/>
      <c r="AF9" s="371"/>
      <c r="AG9" s="372"/>
      <c r="AH9" s="361"/>
      <c r="AI9" s="362"/>
      <c r="AJ9" s="362"/>
      <c r="AK9" s="362"/>
      <c r="AL9" s="362"/>
      <c r="AM9" s="363"/>
      <c r="AN9" s="77"/>
      <c r="AO9" s="395"/>
      <c r="AP9" s="396"/>
      <c r="AQ9" s="396"/>
      <c r="AR9" s="396"/>
      <c r="AS9" s="396"/>
      <c r="AT9" s="39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row>
    <row r="10" spans="1:99" ht="15" customHeight="1" x14ac:dyDescent="0.25">
      <c r="A10" s="77"/>
      <c r="B10" s="390"/>
      <c r="C10" s="390"/>
      <c r="D10" s="391"/>
      <c r="E10" s="383"/>
      <c r="F10" s="384"/>
      <c r="G10" s="384"/>
      <c r="H10" s="384"/>
      <c r="I10" s="385"/>
      <c r="J10" s="370" t="str">
        <f>IF(AND(Riesgos!$K$40="Muy Alta",Riesgos!$O$40="Leve"),CONCATENATE("R",Riesgos!$A$40),"")</f>
        <v/>
      </c>
      <c r="K10" s="371"/>
      <c r="L10" s="371" t="str">
        <f>IF(AND(Riesgos!$K$46="Muy Alta",Riesgos!$O$46="Leve"),CONCATENATE("R",Riesgos!$A$46),"")</f>
        <v/>
      </c>
      <c r="M10" s="371"/>
      <c r="N10" s="371" t="str">
        <f>IF(AND(Riesgos!$K$52="Muy Alta",Riesgos!$O$52="Leve"),CONCATENATE("R",Riesgos!$A$52),"")</f>
        <v/>
      </c>
      <c r="O10" s="372"/>
      <c r="P10" s="370" t="str">
        <f>IF(AND(Riesgos!$K$40="Muy Alta",Riesgos!$O$40="Menor"),CONCATENATE("R",Riesgos!$A$40),"")</f>
        <v/>
      </c>
      <c r="Q10" s="371"/>
      <c r="R10" s="371" t="str">
        <f>IF(AND(Riesgos!$K$46="Muy Alta",Riesgos!$O$46="Menor"),CONCATENATE("R",Riesgos!$A$46),"")</f>
        <v/>
      </c>
      <c r="S10" s="371"/>
      <c r="T10" s="371" t="str">
        <f>IF(AND(Riesgos!$K$52="Muy Alta",Riesgos!$O$52="Menor"),CONCATENATE("R",Riesgos!$A$52),"")</f>
        <v/>
      </c>
      <c r="U10" s="372"/>
      <c r="V10" s="370" t="str">
        <f>IF(AND(Riesgos!$K$40="Muy Alta",Riesgos!$O$40="Moderado"),CONCATENATE("R",Riesgos!$A$40),"")</f>
        <v/>
      </c>
      <c r="W10" s="371"/>
      <c r="X10" s="371" t="str">
        <f>IF(AND(Riesgos!$K$46="Muy Alta",Riesgos!$O$46="Moderado"),CONCATENATE("R",Riesgos!$A$46),"")</f>
        <v/>
      </c>
      <c r="Y10" s="371"/>
      <c r="Z10" s="371" t="str">
        <f>IF(AND(Riesgos!$K$52="Muy Alta",Riesgos!$O$52="Moderado"),CONCATENATE("R",Riesgos!$A$52),"")</f>
        <v/>
      </c>
      <c r="AA10" s="372"/>
      <c r="AB10" s="370" t="str">
        <f>IF(AND(Riesgos!$K$40="Muy Alta",Riesgos!$O$40="Mayor"),CONCATENATE("R",Riesgos!$A$40),"")</f>
        <v/>
      </c>
      <c r="AC10" s="371"/>
      <c r="AD10" s="371" t="str">
        <f>IF(AND(Riesgos!$K$46="Muy Alta",Riesgos!$O$46="Mayor"),CONCATENATE("R",Riesgos!$A$46),"")</f>
        <v/>
      </c>
      <c r="AE10" s="371"/>
      <c r="AF10" s="371" t="str">
        <f>IF(AND(Riesgos!$K$52="Muy Alta",Riesgos!$O$52="Mayor"),CONCATENATE("R",Riesgos!$A$52),"")</f>
        <v/>
      </c>
      <c r="AG10" s="372"/>
      <c r="AH10" s="361" t="str">
        <f>IF(AND(Riesgos!$K$40="Muy Alta",Riesgos!$O$40="Catastrófico"),CONCATENATE("R",Riesgos!$A$40),"")</f>
        <v/>
      </c>
      <c r="AI10" s="362"/>
      <c r="AJ10" s="362" t="str">
        <f>IF(AND(Riesgos!$K$46="Muy Alta",Riesgos!$O$46="Catastrófico"),CONCATENATE("R",Riesgos!$A$46),"")</f>
        <v/>
      </c>
      <c r="AK10" s="362"/>
      <c r="AL10" s="362" t="str">
        <f>IF(AND(Riesgos!$K$52="Muy Alta",Riesgos!$O$52="Catastrófico"),CONCATENATE("R",Riesgos!$A$52),"")</f>
        <v/>
      </c>
      <c r="AM10" s="363"/>
      <c r="AN10" s="77"/>
      <c r="AO10" s="395"/>
      <c r="AP10" s="396"/>
      <c r="AQ10" s="396"/>
      <c r="AR10" s="396"/>
      <c r="AS10" s="396"/>
      <c r="AT10" s="39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row>
    <row r="11" spans="1:99" ht="15" customHeight="1" x14ac:dyDescent="0.25">
      <c r="A11" s="77"/>
      <c r="B11" s="390"/>
      <c r="C11" s="390"/>
      <c r="D11" s="391"/>
      <c r="E11" s="383"/>
      <c r="F11" s="384"/>
      <c r="G11" s="384"/>
      <c r="H11" s="384"/>
      <c r="I11" s="385"/>
      <c r="J11" s="370"/>
      <c r="K11" s="371"/>
      <c r="L11" s="371"/>
      <c r="M11" s="371"/>
      <c r="N11" s="371"/>
      <c r="O11" s="372"/>
      <c r="P11" s="370"/>
      <c r="Q11" s="371"/>
      <c r="R11" s="371"/>
      <c r="S11" s="371"/>
      <c r="T11" s="371"/>
      <c r="U11" s="372"/>
      <c r="V11" s="370"/>
      <c r="W11" s="371"/>
      <c r="X11" s="371"/>
      <c r="Y11" s="371"/>
      <c r="Z11" s="371"/>
      <c r="AA11" s="372"/>
      <c r="AB11" s="370"/>
      <c r="AC11" s="371"/>
      <c r="AD11" s="371"/>
      <c r="AE11" s="371"/>
      <c r="AF11" s="371"/>
      <c r="AG11" s="372"/>
      <c r="AH11" s="361"/>
      <c r="AI11" s="362"/>
      <c r="AJ11" s="362"/>
      <c r="AK11" s="362"/>
      <c r="AL11" s="362"/>
      <c r="AM11" s="363"/>
      <c r="AN11" s="77"/>
      <c r="AO11" s="395"/>
      <c r="AP11" s="396"/>
      <c r="AQ11" s="396"/>
      <c r="AR11" s="396"/>
      <c r="AS11" s="396"/>
      <c r="AT11" s="39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row>
    <row r="12" spans="1:99" ht="15" customHeight="1" x14ac:dyDescent="0.25">
      <c r="A12" s="77"/>
      <c r="B12" s="390"/>
      <c r="C12" s="390"/>
      <c r="D12" s="391"/>
      <c r="E12" s="383"/>
      <c r="F12" s="384"/>
      <c r="G12" s="384"/>
      <c r="H12" s="384"/>
      <c r="I12" s="385"/>
      <c r="J12" s="370" t="e">
        <f>IF(AND(Riesgos!#REF!="Muy Alta",Riesgos!#REF!="Leve"),CONCATENATE("R",Riesgos!#REF!),"")</f>
        <v>#REF!</v>
      </c>
      <c r="K12" s="371"/>
      <c r="L12" s="371" t="str">
        <f>IF(AND(Riesgos!$K$94="Muy Alta",Riesgos!$O$94="Leve"),CONCATENATE("R",Riesgos!$A$94),"")</f>
        <v/>
      </c>
      <c r="M12" s="371"/>
      <c r="N12" s="371" t="str">
        <f>IF(AND(Riesgos!$K$100="Muy Alta",Riesgos!$O$100="Leve"),CONCATENATE("R",Riesgos!$A$100),"")</f>
        <v/>
      </c>
      <c r="O12" s="372"/>
      <c r="P12" s="370" t="e">
        <f>IF(AND(Riesgos!#REF!="Muy Alta",Riesgos!#REF!="Menor"),CONCATENATE("R",Riesgos!#REF!),"")</f>
        <v>#REF!</v>
      </c>
      <c r="Q12" s="371"/>
      <c r="R12" s="371" t="str">
        <f>IF(AND(Riesgos!$K$94="Muy Alta",Riesgos!$O$94="Menor"),CONCATENATE("R",Riesgos!$A$94),"")</f>
        <v/>
      </c>
      <c r="S12" s="371"/>
      <c r="T12" s="371" t="str">
        <f>IF(AND(Riesgos!$K$100="Muy Alta",Riesgos!$O$100="Menor"),CONCATENATE("R",Riesgos!$A$100),"")</f>
        <v/>
      </c>
      <c r="U12" s="372"/>
      <c r="V12" s="370" t="e">
        <f>IF(AND(Riesgos!#REF!="Muy Alta",Riesgos!#REF!="Moderado"),CONCATENATE("R",Riesgos!#REF!),"")</f>
        <v>#REF!</v>
      </c>
      <c r="W12" s="371"/>
      <c r="X12" s="371" t="str">
        <f>IF(AND(Riesgos!$K$94="Muy Alta",Riesgos!$O$94="Moderado"),CONCATENATE("R",Riesgos!$A$94),"")</f>
        <v/>
      </c>
      <c r="Y12" s="371"/>
      <c r="Z12" s="371" t="str">
        <f>IF(AND(Riesgos!$K$100="Muy Alta",Riesgos!$O$100="Moderado"),CONCATENATE("R",Riesgos!$A$100),"")</f>
        <v/>
      </c>
      <c r="AA12" s="372"/>
      <c r="AB12" s="370" t="e">
        <f>IF(AND(Riesgos!#REF!="Muy Alta",Riesgos!#REF!="Mayor"),CONCATENATE("R",Riesgos!#REF!),"")</f>
        <v>#REF!</v>
      </c>
      <c r="AC12" s="371"/>
      <c r="AD12" s="371" t="str">
        <f>IF(AND(Riesgos!$K$94="Muy Alta",Riesgos!$O$94="Mayor"),CONCATENATE("R",Riesgos!$A$94),"")</f>
        <v/>
      </c>
      <c r="AE12" s="371"/>
      <c r="AF12" s="371" t="str">
        <f>IF(AND(Riesgos!$K$100="Muy Alta",Riesgos!$O$100="Mayor"),CONCATENATE("R",Riesgos!$A$100),"")</f>
        <v/>
      </c>
      <c r="AG12" s="372"/>
      <c r="AH12" s="361" t="e">
        <f>IF(AND(Riesgos!#REF!="Muy Alta",Riesgos!#REF!="Catastrófico"),CONCATENATE("R",Riesgos!#REF!),"")</f>
        <v>#REF!</v>
      </c>
      <c r="AI12" s="362"/>
      <c r="AJ12" s="362" t="str">
        <f>IF(AND(Riesgos!$K$94="Muy Alta",Riesgos!$O$94="Catastrófico"),CONCATENATE("R",Riesgos!$A$94),"")</f>
        <v/>
      </c>
      <c r="AK12" s="362"/>
      <c r="AL12" s="362" t="str">
        <f>IF(AND(Riesgos!$K$100="Muy Alta",Riesgos!$O$100="Catastrófico"),CONCATENATE("R",Riesgos!$A$100),"")</f>
        <v/>
      </c>
      <c r="AM12" s="363"/>
      <c r="AN12" s="77"/>
      <c r="AO12" s="395"/>
      <c r="AP12" s="396"/>
      <c r="AQ12" s="396"/>
      <c r="AR12" s="396"/>
      <c r="AS12" s="396"/>
      <c r="AT12" s="39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row>
    <row r="13" spans="1:99" ht="15.75" customHeight="1" thickBot="1" x14ac:dyDescent="0.3">
      <c r="A13" s="77"/>
      <c r="B13" s="390"/>
      <c r="C13" s="390"/>
      <c r="D13" s="391"/>
      <c r="E13" s="386"/>
      <c r="F13" s="387"/>
      <c r="G13" s="387"/>
      <c r="H13" s="387"/>
      <c r="I13" s="388"/>
      <c r="J13" s="370"/>
      <c r="K13" s="371"/>
      <c r="L13" s="371"/>
      <c r="M13" s="371"/>
      <c r="N13" s="371"/>
      <c r="O13" s="372"/>
      <c r="P13" s="370"/>
      <c r="Q13" s="371"/>
      <c r="R13" s="371"/>
      <c r="S13" s="371"/>
      <c r="T13" s="371"/>
      <c r="U13" s="372"/>
      <c r="V13" s="370"/>
      <c r="W13" s="371"/>
      <c r="X13" s="371"/>
      <c r="Y13" s="371"/>
      <c r="Z13" s="371"/>
      <c r="AA13" s="372"/>
      <c r="AB13" s="370"/>
      <c r="AC13" s="371"/>
      <c r="AD13" s="371"/>
      <c r="AE13" s="371"/>
      <c r="AF13" s="371"/>
      <c r="AG13" s="372"/>
      <c r="AH13" s="364"/>
      <c r="AI13" s="365"/>
      <c r="AJ13" s="365"/>
      <c r="AK13" s="365"/>
      <c r="AL13" s="365"/>
      <c r="AM13" s="366"/>
      <c r="AN13" s="77"/>
      <c r="AO13" s="398"/>
      <c r="AP13" s="399"/>
      <c r="AQ13" s="399"/>
      <c r="AR13" s="399"/>
      <c r="AS13" s="399"/>
      <c r="AT13" s="400"/>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row>
    <row r="14" spans="1:99" ht="15" customHeight="1" x14ac:dyDescent="0.25">
      <c r="A14" s="77"/>
      <c r="B14" s="390"/>
      <c r="C14" s="390"/>
      <c r="D14" s="391"/>
      <c r="E14" s="380" t="s">
        <v>112</v>
      </c>
      <c r="F14" s="381"/>
      <c r="G14" s="381"/>
      <c r="H14" s="381"/>
      <c r="I14" s="381"/>
      <c r="J14" s="358" t="str">
        <f>IF(AND(Riesgos!$K$10="Alta",Riesgos!$O$10="Leve"),CONCATENATE("R",Riesgos!$A$10),"")</f>
        <v/>
      </c>
      <c r="K14" s="359"/>
      <c r="L14" s="359" t="str">
        <f>IF(AND(Riesgos!$K$16="Alta",Riesgos!$O$16="Leve"),CONCATENATE("R",Riesgos!$A$16),"")</f>
        <v/>
      </c>
      <c r="M14" s="359"/>
      <c r="N14" s="359" t="e">
        <f>IF(AND(Riesgos!#REF!="Alta",Riesgos!#REF!="Leve"),CONCATENATE("R",Riesgos!#REF!),"")</f>
        <v>#REF!</v>
      </c>
      <c r="O14" s="360"/>
      <c r="P14" s="358" t="str">
        <f>IF(AND(Riesgos!$K$10="Alta",Riesgos!$O$10="Menor"),CONCATENATE("R",Riesgos!$A$10),"")</f>
        <v/>
      </c>
      <c r="Q14" s="359"/>
      <c r="R14" s="359" t="str">
        <f>IF(AND(Riesgos!$K$16="Alta",Riesgos!$O$16="Menor"),CONCATENATE("R",Riesgos!$A$16),"")</f>
        <v/>
      </c>
      <c r="S14" s="359"/>
      <c r="T14" s="359" t="e">
        <f>IF(AND(Riesgos!#REF!="Alta",Riesgos!#REF!="Menor"),CONCATENATE("R",Riesgos!#REF!),"")</f>
        <v>#REF!</v>
      </c>
      <c r="U14" s="360"/>
      <c r="V14" s="376" t="str">
        <f>IF(AND(Riesgos!$K$10="Alta",Riesgos!$O$10="Moderado"),CONCATENATE("R",Riesgos!$A$10),"")</f>
        <v/>
      </c>
      <c r="W14" s="377"/>
      <c r="X14" s="377" t="str">
        <f>IF(AND(Riesgos!$K$16="Alta",Riesgos!$O$16="Moderado"),CONCATENATE("R",Riesgos!$A$16),"")</f>
        <v/>
      </c>
      <c r="Y14" s="377"/>
      <c r="Z14" s="377" t="e">
        <f>IF(AND(Riesgos!#REF!="Alta",Riesgos!#REF!="Moderado"),CONCATENATE("R",Riesgos!#REF!),"")</f>
        <v>#REF!</v>
      </c>
      <c r="AA14" s="378"/>
      <c r="AB14" s="376" t="str">
        <f>IF(AND(Riesgos!$K$10="Alta",Riesgos!$O$10="Mayor"),CONCATENATE("R",Riesgos!$A$10),"")</f>
        <v/>
      </c>
      <c r="AC14" s="377"/>
      <c r="AD14" s="377" t="str">
        <f>IF(AND(Riesgos!$K$16="Alta",Riesgos!$O$16="Mayor"),CONCATENATE("R",Riesgos!$A$16),"")</f>
        <v/>
      </c>
      <c r="AE14" s="377"/>
      <c r="AF14" s="377" t="e">
        <f>IF(AND(Riesgos!#REF!="Alta",Riesgos!#REF!="Mayor"),CONCATENATE("R",Riesgos!#REF!),"")</f>
        <v>#REF!</v>
      </c>
      <c r="AG14" s="378"/>
      <c r="AH14" s="367" t="str">
        <f>IF(AND(Riesgos!$K$10="Alta",Riesgos!$O$10="Catastrófico"),CONCATENATE("R",Riesgos!$A$10),"")</f>
        <v/>
      </c>
      <c r="AI14" s="368"/>
      <c r="AJ14" s="368" t="str">
        <f>IF(AND(Riesgos!$K$16="Alta",Riesgos!$O$16="Catastrófico"),CONCATENATE("R",Riesgos!$A$16),"")</f>
        <v/>
      </c>
      <c r="AK14" s="368"/>
      <c r="AL14" s="368" t="e">
        <f>IF(AND(Riesgos!#REF!="Alta",Riesgos!#REF!="Catastrófico"),CONCATENATE("R",Riesgos!#REF!),"")</f>
        <v>#REF!</v>
      </c>
      <c r="AM14" s="369"/>
      <c r="AN14" s="77"/>
      <c r="AO14" s="401" t="s">
        <v>77</v>
      </c>
      <c r="AP14" s="402"/>
      <c r="AQ14" s="402"/>
      <c r="AR14" s="402"/>
      <c r="AS14" s="402"/>
      <c r="AT14" s="403"/>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row>
    <row r="15" spans="1:99" ht="15" customHeight="1" x14ac:dyDescent="0.25">
      <c r="A15" s="77"/>
      <c r="B15" s="390"/>
      <c r="C15" s="390"/>
      <c r="D15" s="391"/>
      <c r="E15" s="383"/>
      <c r="F15" s="384"/>
      <c r="G15" s="384"/>
      <c r="H15" s="384"/>
      <c r="I15" s="384"/>
      <c r="J15" s="352"/>
      <c r="K15" s="353"/>
      <c r="L15" s="353"/>
      <c r="M15" s="353"/>
      <c r="N15" s="353"/>
      <c r="O15" s="354"/>
      <c r="P15" s="352"/>
      <c r="Q15" s="353"/>
      <c r="R15" s="353"/>
      <c r="S15" s="353"/>
      <c r="T15" s="353"/>
      <c r="U15" s="354"/>
      <c r="V15" s="370"/>
      <c r="W15" s="371"/>
      <c r="X15" s="371"/>
      <c r="Y15" s="371"/>
      <c r="Z15" s="371"/>
      <c r="AA15" s="372"/>
      <c r="AB15" s="370"/>
      <c r="AC15" s="371"/>
      <c r="AD15" s="371"/>
      <c r="AE15" s="371"/>
      <c r="AF15" s="371"/>
      <c r="AG15" s="372"/>
      <c r="AH15" s="361"/>
      <c r="AI15" s="362"/>
      <c r="AJ15" s="362"/>
      <c r="AK15" s="362"/>
      <c r="AL15" s="362"/>
      <c r="AM15" s="363"/>
      <c r="AN15" s="77"/>
      <c r="AO15" s="404"/>
      <c r="AP15" s="405"/>
      <c r="AQ15" s="405"/>
      <c r="AR15" s="405"/>
      <c r="AS15" s="405"/>
      <c r="AT15" s="406"/>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row>
    <row r="16" spans="1:99" ht="15" customHeight="1" x14ac:dyDescent="0.25">
      <c r="A16" s="77"/>
      <c r="B16" s="390"/>
      <c r="C16" s="390"/>
      <c r="D16" s="391"/>
      <c r="E16" s="383"/>
      <c r="F16" s="384"/>
      <c r="G16" s="384"/>
      <c r="H16" s="384"/>
      <c r="I16" s="384"/>
      <c r="J16" s="352" t="str">
        <f>IF(AND(Riesgos!$K$22="Alta",Riesgos!$O$22="Leve"),CONCATENATE("R",Riesgos!$A$22),"")</f>
        <v/>
      </c>
      <c r="K16" s="353"/>
      <c r="L16" s="353" t="str">
        <f>IF(AND(Riesgos!$K$28="Alta",Riesgos!$O$28="Leve"),CONCATENATE("R",Riesgos!$A$28),"")</f>
        <v/>
      </c>
      <c r="M16" s="353"/>
      <c r="N16" s="353" t="str">
        <f>IF(AND(Riesgos!$K$34="Alta",Riesgos!$O$34="Leve"),CONCATENATE("R",Riesgos!$A$34),"")</f>
        <v/>
      </c>
      <c r="O16" s="354"/>
      <c r="P16" s="352" t="str">
        <f>IF(AND(Riesgos!$K$22="Alta",Riesgos!$O$22="Menor"),CONCATENATE("R",Riesgos!$A$22),"")</f>
        <v/>
      </c>
      <c r="Q16" s="353"/>
      <c r="R16" s="353" t="str">
        <f>IF(AND(Riesgos!$K$28="Alta",Riesgos!$O$28="Menor"),CONCATENATE("R",Riesgos!$A$28),"")</f>
        <v/>
      </c>
      <c r="S16" s="353"/>
      <c r="T16" s="353" t="str">
        <f>IF(AND(Riesgos!$K$34="Alta",Riesgos!$O$34="Menor"),CONCATENATE("R",Riesgos!$A$34),"")</f>
        <v/>
      </c>
      <c r="U16" s="354"/>
      <c r="V16" s="370" t="str">
        <f>IF(AND(Riesgos!$K$22="Alta",Riesgos!$O$22="Moderado"),CONCATENATE("R",Riesgos!$A$22),"")</f>
        <v/>
      </c>
      <c r="W16" s="371"/>
      <c r="X16" s="371" t="str">
        <f>IF(AND(Riesgos!$K$28="Alta",Riesgos!$O$28="Moderado"),CONCATENATE("R",Riesgos!$A$28),"")</f>
        <v/>
      </c>
      <c r="Y16" s="371"/>
      <c r="Z16" s="371" t="str">
        <f>IF(AND(Riesgos!$K$34="Alta",Riesgos!$O$34="Moderado"),CONCATENATE("R",Riesgos!$A$34),"")</f>
        <v/>
      </c>
      <c r="AA16" s="372"/>
      <c r="AB16" s="370" t="str">
        <f>IF(AND(Riesgos!$K$22="Alta",Riesgos!$O$22="Mayor"),CONCATENATE("R",Riesgos!$A$22),"")</f>
        <v/>
      </c>
      <c r="AC16" s="371"/>
      <c r="AD16" s="371" t="str">
        <f>IF(AND(Riesgos!$K$28="Alta",Riesgos!$O$28="Mayor"),CONCATENATE("R",Riesgos!$A$28),"")</f>
        <v/>
      </c>
      <c r="AE16" s="371"/>
      <c r="AF16" s="371" t="str">
        <f>IF(AND(Riesgos!$K$34="Alta",Riesgos!$O$34="Mayor"),CONCATENATE("R",Riesgos!$A$34),"")</f>
        <v/>
      </c>
      <c r="AG16" s="372"/>
      <c r="AH16" s="361" t="str">
        <f>IF(AND(Riesgos!$K$22="Alta",Riesgos!$O$22="Catastrófico"),CONCATENATE("R",Riesgos!$A$22),"")</f>
        <v/>
      </c>
      <c r="AI16" s="362"/>
      <c r="AJ16" s="362" t="str">
        <f>IF(AND(Riesgos!$K$28="Alta",Riesgos!$O$28="Catastrófico"),CONCATENATE("R",Riesgos!$A$28),"")</f>
        <v/>
      </c>
      <c r="AK16" s="362"/>
      <c r="AL16" s="362" t="str">
        <f>IF(AND(Riesgos!$K$34="Alta",Riesgos!$O$34="Catastrófico"),CONCATENATE("R",Riesgos!$A$34),"")</f>
        <v/>
      </c>
      <c r="AM16" s="363"/>
      <c r="AN16" s="77"/>
      <c r="AO16" s="404"/>
      <c r="AP16" s="405"/>
      <c r="AQ16" s="405"/>
      <c r="AR16" s="405"/>
      <c r="AS16" s="405"/>
      <c r="AT16" s="406"/>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row>
    <row r="17" spans="1:80" ht="15" customHeight="1" x14ac:dyDescent="0.25">
      <c r="A17" s="77"/>
      <c r="B17" s="390"/>
      <c r="C17" s="390"/>
      <c r="D17" s="391"/>
      <c r="E17" s="383"/>
      <c r="F17" s="384"/>
      <c r="G17" s="384"/>
      <c r="H17" s="384"/>
      <c r="I17" s="384"/>
      <c r="J17" s="352"/>
      <c r="K17" s="353"/>
      <c r="L17" s="353"/>
      <c r="M17" s="353"/>
      <c r="N17" s="353"/>
      <c r="O17" s="354"/>
      <c r="P17" s="352"/>
      <c r="Q17" s="353"/>
      <c r="R17" s="353"/>
      <c r="S17" s="353"/>
      <c r="T17" s="353"/>
      <c r="U17" s="354"/>
      <c r="V17" s="370"/>
      <c r="W17" s="371"/>
      <c r="X17" s="371"/>
      <c r="Y17" s="371"/>
      <c r="Z17" s="371"/>
      <c r="AA17" s="372"/>
      <c r="AB17" s="370"/>
      <c r="AC17" s="371"/>
      <c r="AD17" s="371"/>
      <c r="AE17" s="371"/>
      <c r="AF17" s="371"/>
      <c r="AG17" s="372"/>
      <c r="AH17" s="361"/>
      <c r="AI17" s="362"/>
      <c r="AJ17" s="362"/>
      <c r="AK17" s="362"/>
      <c r="AL17" s="362"/>
      <c r="AM17" s="363"/>
      <c r="AN17" s="77"/>
      <c r="AO17" s="404"/>
      <c r="AP17" s="405"/>
      <c r="AQ17" s="405"/>
      <c r="AR17" s="405"/>
      <c r="AS17" s="405"/>
      <c r="AT17" s="406"/>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row>
    <row r="18" spans="1:80" ht="15" customHeight="1" x14ac:dyDescent="0.25">
      <c r="A18" s="77"/>
      <c r="B18" s="390"/>
      <c r="C18" s="390"/>
      <c r="D18" s="391"/>
      <c r="E18" s="383"/>
      <c r="F18" s="384"/>
      <c r="G18" s="384"/>
      <c r="H18" s="384"/>
      <c r="I18" s="384"/>
      <c r="J18" s="352" t="str">
        <f>IF(AND(Riesgos!$K$40="Alta",Riesgos!$O$40="Leve"),CONCATENATE("R",Riesgos!$A$40),"")</f>
        <v/>
      </c>
      <c r="K18" s="353"/>
      <c r="L18" s="353" t="str">
        <f>IF(AND(Riesgos!$K$46="Alta",Riesgos!$O$46="Leve"),CONCATENATE("R",Riesgos!$A$46),"")</f>
        <v/>
      </c>
      <c r="M18" s="353"/>
      <c r="N18" s="353" t="str">
        <f>IF(AND(Riesgos!$K$52="Alta",Riesgos!$O$52="Leve"),CONCATENATE("R",Riesgos!$A$52),"")</f>
        <v/>
      </c>
      <c r="O18" s="354"/>
      <c r="P18" s="352" t="str">
        <f>IF(AND(Riesgos!$K$40="Alta",Riesgos!$O$40="Menor"),CONCATENATE("R",Riesgos!$A$40),"")</f>
        <v/>
      </c>
      <c r="Q18" s="353"/>
      <c r="R18" s="353" t="str">
        <f>IF(AND(Riesgos!$K$46="Alta",Riesgos!$O$46="Menor"),CONCATENATE("R",Riesgos!$A$46),"")</f>
        <v/>
      </c>
      <c r="S18" s="353"/>
      <c r="T18" s="353" t="str">
        <f>IF(AND(Riesgos!$K$52="Alta",Riesgos!$O$52="Menor"),CONCATENATE("R",Riesgos!$A$52),"")</f>
        <v/>
      </c>
      <c r="U18" s="354"/>
      <c r="V18" s="370" t="str">
        <f>IF(AND(Riesgos!$K$40="Alta",Riesgos!$O$40="Moderado"),CONCATENATE("R",Riesgos!$A$40),"")</f>
        <v/>
      </c>
      <c r="W18" s="371"/>
      <c r="X18" s="371" t="str">
        <f>IF(AND(Riesgos!$K$46="Alta",Riesgos!$O$46="Moderado"),CONCATENATE("R",Riesgos!$A$46),"")</f>
        <v/>
      </c>
      <c r="Y18" s="371"/>
      <c r="Z18" s="371" t="str">
        <f>IF(AND(Riesgos!$K$52="Alta",Riesgos!$O$52="Moderado"),CONCATENATE("R",Riesgos!$A$52),"")</f>
        <v/>
      </c>
      <c r="AA18" s="372"/>
      <c r="AB18" s="370" t="str">
        <f>IF(AND(Riesgos!$K$40="Alta",Riesgos!$O$40="Mayor"),CONCATENATE("R",Riesgos!$A$40),"")</f>
        <v/>
      </c>
      <c r="AC18" s="371"/>
      <c r="AD18" s="371" t="str">
        <f>IF(AND(Riesgos!$K$46="Alta",Riesgos!$O$46="Mayor"),CONCATENATE("R",Riesgos!$A$46),"")</f>
        <v/>
      </c>
      <c r="AE18" s="371"/>
      <c r="AF18" s="371" t="str">
        <f>IF(AND(Riesgos!$K$52="Alta",Riesgos!$O$52="Mayor"),CONCATENATE("R",Riesgos!$A$52),"")</f>
        <v/>
      </c>
      <c r="AG18" s="372"/>
      <c r="AH18" s="361" t="str">
        <f>IF(AND(Riesgos!$K$40="Alta",Riesgos!$O$40="Catastrófico"),CONCATENATE("R",Riesgos!$A$40),"")</f>
        <v/>
      </c>
      <c r="AI18" s="362"/>
      <c r="AJ18" s="362" t="str">
        <f>IF(AND(Riesgos!$K$46="Alta",Riesgos!$O$46="Catastrófico"),CONCATENATE("R",Riesgos!$A$46),"")</f>
        <v/>
      </c>
      <c r="AK18" s="362"/>
      <c r="AL18" s="362" t="str">
        <f>IF(AND(Riesgos!$K$52="Alta",Riesgos!$O$52="Catastrófico"),CONCATENATE("R",Riesgos!$A$52),"")</f>
        <v/>
      </c>
      <c r="AM18" s="363"/>
      <c r="AN18" s="77"/>
      <c r="AO18" s="404"/>
      <c r="AP18" s="405"/>
      <c r="AQ18" s="405"/>
      <c r="AR18" s="405"/>
      <c r="AS18" s="405"/>
      <c r="AT18" s="406"/>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row>
    <row r="19" spans="1:80" ht="15" customHeight="1" x14ac:dyDescent="0.25">
      <c r="A19" s="77"/>
      <c r="B19" s="390"/>
      <c r="C19" s="390"/>
      <c r="D19" s="391"/>
      <c r="E19" s="383"/>
      <c r="F19" s="384"/>
      <c r="G19" s="384"/>
      <c r="H19" s="384"/>
      <c r="I19" s="384"/>
      <c r="J19" s="352"/>
      <c r="K19" s="353"/>
      <c r="L19" s="353"/>
      <c r="M19" s="353"/>
      <c r="N19" s="353"/>
      <c r="O19" s="354"/>
      <c r="P19" s="352"/>
      <c r="Q19" s="353"/>
      <c r="R19" s="353"/>
      <c r="S19" s="353"/>
      <c r="T19" s="353"/>
      <c r="U19" s="354"/>
      <c r="V19" s="370"/>
      <c r="W19" s="371"/>
      <c r="X19" s="371"/>
      <c r="Y19" s="371"/>
      <c r="Z19" s="371"/>
      <c r="AA19" s="372"/>
      <c r="AB19" s="370"/>
      <c r="AC19" s="371"/>
      <c r="AD19" s="371"/>
      <c r="AE19" s="371"/>
      <c r="AF19" s="371"/>
      <c r="AG19" s="372"/>
      <c r="AH19" s="361"/>
      <c r="AI19" s="362"/>
      <c r="AJ19" s="362"/>
      <c r="AK19" s="362"/>
      <c r="AL19" s="362"/>
      <c r="AM19" s="363"/>
      <c r="AN19" s="77"/>
      <c r="AO19" s="404"/>
      <c r="AP19" s="405"/>
      <c r="AQ19" s="405"/>
      <c r="AR19" s="405"/>
      <c r="AS19" s="405"/>
      <c r="AT19" s="406"/>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row>
    <row r="20" spans="1:80" ht="15" customHeight="1" x14ac:dyDescent="0.25">
      <c r="A20" s="77"/>
      <c r="B20" s="390"/>
      <c r="C20" s="390"/>
      <c r="D20" s="391"/>
      <c r="E20" s="383"/>
      <c r="F20" s="384"/>
      <c r="G20" s="384"/>
      <c r="H20" s="384"/>
      <c r="I20" s="384"/>
      <c r="J20" s="352" t="e">
        <f>IF(AND(Riesgos!#REF!="Alta",Riesgos!#REF!="Leve"),CONCATENATE("R",Riesgos!#REF!),"")</f>
        <v>#REF!</v>
      </c>
      <c r="K20" s="353"/>
      <c r="L20" s="353" t="str">
        <f>IF(AND(Riesgos!$K$94="Alta",Riesgos!$O$94="Leve"),CONCATENATE("R",Riesgos!$A$94),"")</f>
        <v/>
      </c>
      <c r="M20" s="353"/>
      <c r="N20" s="353" t="str">
        <f>IF(AND(Riesgos!$K$100="Alta",Riesgos!$O$100="Leve"),CONCATENATE("R",Riesgos!$A$100),"")</f>
        <v/>
      </c>
      <c r="O20" s="354"/>
      <c r="P20" s="352" t="e">
        <f>IF(AND(Riesgos!#REF!="Alta",Riesgos!#REF!="Menor"),CONCATENATE("R",Riesgos!#REF!),"")</f>
        <v>#REF!</v>
      </c>
      <c r="Q20" s="353"/>
      <c r="R20" s="353" t="str">
        <f>IF(AND(Riesgos!$K$94="Alta",Riesgos!$O$94="Menor"),CONCATENATE("R",Riesgos!$A$94),"")</f>
        <v/>
      </c>
      <c r="S20" s="353"/>
      <c r="T20" s="353" t="str">
        <f>IF(AND(Riesgos!$K$100="Alta",Riesgos!$O$100="Menor"),CONCATENATE("R",Riesgos!$A$100),"")</f>
        <v/>
      </c>
      <c r="U20" s="354"/>
      <c r="V20" s="370" t="e">
        <f>IF(AND(Riesgos!#REF!="Alta",Riesgos!#REF!="Moderado"),CONCATENATE("R",Riesgos!#REF!),"")</f>
        <v>#REF!</v>
      </c>
      <c r="W20" s="371"/>
      <c r="X20" s="371" t="str">
        <f>IF(AND(Riesgos!$K$94="Alta",Riesgos!$O$94="Moderado"),CONCATENATE("R",Riesgos!$A$94),"")</f>
        <v/>
      </c>
      <c r="Y20" s="371"/>
      <c r="Z20" s="371" t="str">
        <f>IF(AND(Riesgos!$K$100="Alta",Riesgos!$O$100="Moderado"),CONCATENATE("R",Riesgos!$A$100),"")</f>
        <v/>
      </c>
      <c r="AA20" s="372"/>
      <c r="AB20" s="370" t="e">
        <f>IF(AND(Riesgos!#REF!="Alta",Riesgos!#REF!="Mayor"),CONCATENATE("R",Riesgos!#REF!),"")</f>
        <v>#REF!</v>
      </c>
      <c r="AC20" s="371"/>
      <c r="AD20" s="371" t="str">
        <f>IF(AND(Riesgos!$K$94="Alta",Riesgos!$O$94="Mayor"),CONCATENATE("R",Riesgos!$A$94),"")</f>
        <v/>
      </c>
      <c r="AE20" s="371"/>
      <c r="AF20" s="371" t="str">
        <f>IF(AND(Riesgos!$K$100="Alta",Riesgos!$O$100="Mayor"),CONCATENATE("R",Riesgos!$A$100),"")</f>
        <v/>
      </c>
      <c r="AG20" s="372"/>
      <c r="AH20" s="361" t="e">
        <f>IF(AND(Riesgos!#REF!="Alta",Riesgos!#REF!="Catastrófico"),CONCATENATE("R",Riesgos!#REF!),"")</f>
        <v>#REF!</v>
      </c>
      <c r="AI20" s="362"/>
      <c r="AJ20" s="362" t="str">
        <f>IF(AND(Riesgos!$K$94="Alta",Riesgos!$O$94="Catastrófico"),CONCATENATE("R",Riesgos!$A$94),"")</f>
        <v/>
      </c>
      <c r="AK20" s="362"/>
      <c r="AL20" s="362" t="str">
        <f>IF(AND(Riesgos!$K$100="Alta",Riesgos!$O$100="Catastrófico"),CONCATENATE("R",Riesgos!$A$100),"")</f>
        <v/>
      </c>
      <c r="AM20" s="363"/>
      <c r="AN20" s="77"/>
      <c r="AO20" s="404"/>
      <c r="AP20" s="405"/>
      <c r="AQ20" s="405"/>
      <c r="AR20" s="405"/>
      <c r="AS20" s="405"/>
      <c r="AT20" s="406"/>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row>
    <row r="21" spans="1:80" ht="15.75" customHeight="1" thickBot="1" x14ac:dyDescent="0.3">
      <c r="A21" s="77"/>
      <c r="B21" s="390"/>
      <c r="C21" s="390"/>
      <c r="D21" s="391"/>
      <c r="E21" s="386"/>
      <c r="F21" s="387"/>
      <c r="G21" s="387"/>
      <c r="H21" s="387"/>
      <c r="I21" s="387"/>
      <c r="J21" s="355"/>
      <c r="K21" s="356"/>
      <c r="L21" s="356"/>
      <c r="M21" s="356"/>
      <c r="N21" s="356"/>
      <c r="O21" s="357"/>
      <c r="P21" s="355"/>
      <c r="Q21" s="356"/>
      <c r="R21" s="356"/>
      <c r="S21" s="356"/>
      <c r="T21" s="356"/>
      <c r="U21" s="357"/>
      <c r="V21" s="373"/>
      <c r="W21" s="374"/>
      <c r="X21" s="374"/>
      <c r="Y21" s="374"/>
      <c r="Z21" s="374"/>
      <c r="AA21" s="375"/>
      <c r="AB21" s="373"/>
      <c r="AC21" s="374"/>
      <c r="AD21" s="374"/>
      <c r="AE21" s="374"/>
      <c r="AF21" s="374"/>
      <c r="AG21" s="375"/>
      <c r="AH21" s="364"/>
      <c r="AI21" s="365"/>
      <c r="AJ21" s="365"/>
      <c r="AK21" s="365"/>
      <c r="AL21" s="365"/>
      <c r="AM21" s="366"/>
      <c r="AN21" s="77"/>
      <c r="AO21" s="407"/>
      <c r="AP21" s="408"/>
      <c r="AQ21" s="408"/>
      <c r="AR21" s="408"/>
      <c r="AS21" s="408"/>
      <c r="AT21" s="409"/>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7"/>
      <c r="BU21" s="77"/>
      <c r="BV21" s="77"/>
      <c r="BW21" s="77"/>
      <c r="BX21" s="77"/>
      <c r="BY21" s="77"/>
      <c r="BZ21" s="77"/>
      <c r="CA21" s="77"/>
      <c r="CB21" s="77"/>
    </row>
    <row r="22" spans="1:80" x14ac:dyDescent="0.25">
      <c r="A22" s="77"/>
      <c r="B22" s="390"/>
      <c r="C22" s="390"/>
      <c r="D22" s="391"/>
      <c r="E22" s="380" t="s">
        <v>114</v>
      </c>
      <c r="F22" s="381"/>
      <c r="G22" s="381"/>
      <c r="H22" s="381"/>
      <c r="I22" s="382"/>
      <c r="J22" s="358" t="str">
        <f>IF(AND(Riesgos!$K$10="Media",Riesgos!$O$10="Leve"),CONCATENATE("R",Riesgos!$A$10),"")</f>
        <v/>
      </c>
      <c r="K22" s="359"/>
      <c r="L22" s="359" t="str">
        <f>IF(AND(Riesgos!$K$16="Media",Riesgos!$O$16="Leve"),CONCATENATE("R",Riesgos!$A$16),"")</f>
        <v/>
      </c>
      <c r="M22" s="359"/>
      <c r="N22" s="359" t="e">
        <f>IF(AND(Riesgos!#REF!="Media",Riesgos!#REF!="Leve"),CONCATENATE("R",Riesgos!#REF!),"")</f>
        <v>#REF!</v>
      </c>
      <c r="O22" s="360"/>
      <c r="P22" s="358" t="str">
        <f>IF(AND(Riesgos!$K$10="Media",Riesgos!$O$10="Menor"),CONCATENATE("R",Riesgos!$A$10),"")</f>
        <v/>
      </c>
      <c r="Q22" s="359"/>
      <c r="R22" s="359" t="str">
        <f>IF(AND(Riesgos!$K$16="Media",Riesgos!$O$16="Menor"),CONCATENATE("R",Riesgos!$A$16),"")</f>
        <v/>
      </c>
      <c r="S22" s="359"/>
      <c r="T22" s="359" t="e">
        <f>IF(AND(Riesgos!#REF!="Media",Riesgos!#REF!="Menor"),CONCATENATE("R",Riesgos!#REF!),"")</f>
        <v>#REF!</v>
      </c>
      <c r="U22" s="360"/>
      <c r="V22" s="358" t="str">
        <f>IF(AND(Riesgos!$K$10="Media",Riesgos!$O$10="Moderado"),CONCATENATE("R",Riesgos!$A$10),"")</f>
        <v/>
      </c>
      <c r="W22" s="359"/>
      <c r="X22" s="359" t="str">
        <f>IF(AND(Riesgos!$K$16="Media",Riesgos!$O$16="Moderado"),CONCATENATE("R",Riesgos!$A$16),"")</f>
        <v/>
      </c>
      <c r="Y22" s="359"/>
      <c r="Z22" s="359" t="e">
        <f>IF(AND(Riesgos!#REF!="Media",Riesgos!#REF!="Moderado"),CONCATENATE("R",Riesgos!#REF!),"")</f>
        <v>#REF!</v>
      </c>
      <c r="AA22" s="360"/>
      <c r="AB22" s="376" t="str">
        <f>IF(AND(Riesgos!$K$10="Media",Riesgos!$O$10="Mayor"),CONCATENATE("R",Riesgos!$A$10),"")</f>
        <v/>
      </c>
      <c r="AC22" s="377"/>
      <c r="AD22" s="377" t="str">
        <f>IF(AND(Riesgos!$K$16="Media",Riesgos!$O$16="Mayor"),CONCATENATE("R",Riesgos!$A$16),"")</f>
        <v/>
      </c>
      <c r="AE22" s="377"/>
      <c r="AF22" s="377" t="e">
        <f>IF(AND(Riesgos!#REF!="Media",Riesgos!#REF!="Mayor"),CONCATENATE("R",Riesgos!#REF!),"")</f>
        <v>#REF!</v>
      </c>
      <c r="AG22" s="378"/>
      <c r="AH22" s="367" t="str">
        <f>IF(AND(Riesgos!$K$10="Media",Riesgos!$O$10="Catastrófico"),CONCATENATE("R",Riesgos!$A$10),"")</f>
        <v/>
      </c>
      <c r="AI22" s="368"/>
      <c r="AJ22" s="368" t="str">
        <f>IF(AND(Riesgos!$K$16="Media",Riesgos!$O$16="Catastrófico"),CONCATENATE("R",Riesgos!$A$16),"")</f>
        <v/>
      </c>
      <c r="AK22" s="368"/>
      <c r="AL22" s="368" t="e">
        <f>IF(AND(Riesgos!#REF!="Media",Riesgos!#REF!="Catastrófico"),CONCATENATE("R",Riesgos!#REF!),"")</f>
        <v>#REF!</v>
      </c>
      <c r="AM22" s="369"/>
      <c r="AN22" s="77"/>
      <c r="AO22" s="410" t="s">
        <v>78</v>
      </c>
      <c r="AP22" s="411"/>
      <c r="AQ22" s="411"/>
      <c r="AR22" s="411"/>
      <c r="AS22" s="411"/>
      <c r="AT22" s="412"/>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7"/>
      <c r="BU22" s="77"/>
      <c r="BV22" s="77"/>
      <c r="BW22" s="77"/>
      <c r="BX22" s="77"/>
      <c r="BY22" s="77"/>
      <c r="BZ22" s="77"/>
      <c r="CA22" s="77"/>
      <c r="CB22" s="77"/>
    </row>
    <row r="23" spans="1:80" x14ac:dyDescent="0.25">
      <c r="A23" s="77"/>
      <c r="B23" s="390"/>
      <c r="C23" s="390"/>
      <c r="D23" s="391"/>
      <c r="E23" s="383"/>
      <c r="F23" s="384"/>
      <c r="G23" s="384"/>
      <c r="H23" s="384"/>
      <c r="I23" s="385"/>
      <c r="J23" s="352"/>
      <c r="K23" s="353"/>
      <c r="L23" s="353"/>
      <c r="M23" s="353"/>
      <c r="N23" s="353"/>
      <c r="O23" s="354"/>
      <c r="P23" s="352"/>
      <c r="Q23" s="353"/>
      <c r="R23" s="353"/>
      <c r="S23" s="353"/>
      <c r="T23" s="353"/>
      <c r="U23" s="354"/>
      <c r="V23" s="352"/>
      <c r="W23" s="353"/>
      <c r="X23" s="353"/>
      <c r="Y23" s="353"/>
      <c r="Z23" s="353"/>
      <c r="AA23" s="354"/>
      <c r="AB23" s="370"/>
      <c r="AC23" s="371"/>
      <c r="AD23" s="371"/>
      <c r="AE23" s="371"/>
      <c r="AF23" s="371"/>
      <c r="AG23" s="372"/>
      <c r="AH23" s="361"/>
      <c r="AI23" s="362"/>
      <c r="AJ23" s="362"/>
      <c r="AK23" s="362"/>
      <c r="AL23" s="362"/>
      <c r="AM23" s="363"/>
      <c r="AN23" s="77"/>
      <c r="AO23" s="413"/>
      <c r="AP23" s="414"/>
      <c r="AQ23" s="414"/>
      <c r="AR23" s="414"/>
      <c r="AS23" s="414"/>
      <c r="AT23" s="415"/>
      <c r="AU23" s="77"/>
      <c r="AV23" s="77"/>
      <c r="AW23" s="77"/>
      <c r="AX23" s="77"/>
      <c r="AY23" s="77"/>
      <c r="AZ23" s="77"/>
      <c r="BA23" s="77"/>
      <c r="BB23" s="77"/>
      <c r="BC23" s="77"/>
      <c r="BD23" s="77"/>
      <c r="BE23" s="77"/>
      <c r="BF23" s="77"/>
      <c r="BG23" s="77"/>
      <c r="BH23" s="77"/>
      <c r="BI23" s="77"/>
      <c r="BJ23" s="77"/>
      <c r="BK23" s="77"/>
      <c r="BL23" s="77"/>
      <c r="BM23" s="77"/>
      <c r="BN23" s="77"/>
      <c r="BO23" s="77"/>
      <c r="BP23" s="77"/>
      <c r="BQ23" s="77"/>
      <c r="BR23" s="77"/>
      <c r="BS23" s="77"/>
      <c r="BT23" s="77"/>
      <c r="BU23" s="77"/>
      <c r="BV23" s="77"/>
      <c r="BW23" s="77"/>
      <c r="BX23" s="77"/>
      <c r="BY23" s="77"/>
      <c r="BZ23" s="77"/>
      <c r="CA23" s="77"/>
      <c r="CB23" s="77"/>
    </row>
    <row r="24" spans="1:80" x14ac:dyDescent="0.25">
      <c r="A24" s="77"/>
      <c r="B24" s="390"/>
      <c r="C24" s="390"/>
      <c r="D24" s="391"/>
      <c r="E24" s="383"/>
      <c r="F24" s="384"/>
      <c r="G24" s="384"/>
      <c r="H24" s="384"/>
      <c r="I24" s="385"/>
      <c r="J24" s="352" t="str">
        <f>IF(AND(Riesgos!$K$22="Media",Riesgos!$O$22="Leve"),CONCATENATE("R",Riesgos!$A$22),"")</f>
        <v/>
      </c>
      <c r="K24" s="353"/>
      <c r="L24" s="353" t="str">
        <f>IF(AND(Riesgos!$K$28="Media",Riesgos!$O$28="Leve"),CONCATENATE("R",Riesgos!$A$28),"")</f>
        <v/>
      </c>
      <c r="M24" s="353"/>
      <c r="N24" s="353" t="str">
        <f>IF(AND(Riesgos!$K$34="Media",Riesgos!$O$34="Leve"),CONCATENATE("R",Riesgos!$A$34),"")</f>
        <v/>
      </c>
      <c r="O24" s="354"/>
      <c r="P24" s="352" t="str">
        <f>IF(AND(Riesgos!$K$22="Media",Riesgos!$O$22="Menor"),CONCATENATE("R",Riesgos!$A$22),"")</f>
        <v/>
      </c>
      <c r="Q24" s="353"/>
      <c r="R24" s="353" t="str">
        <f>IF(AND(Riesgos!$K$28="Media",Riesgos!$O$28="Menor"),CONCATENATE("R",Riesgos!$A$28),"")</f>
        <v/>
      </c>
      <c r="S24" s="353"/>
      <c r="T24" s="353" t="str">
        <f>IF(AND(Riesgos!$K$34="Media",Riesgos!$O$34="Menor"),CONCATENATE("R",Riesgos!$A$34),"")</f>
        <v/>
      </c>
      <c r="U24" s="354"/>
      <c r="V24" s="352" t="str">
        <f>IF(AND(Riesgos!$K$22="Media",Riesgos!$O$22="Moderado"),CONCATENATE("R",Riesgos!$A$22),"")</f>
        <v/>
      </c>
      <c r="W24" s="353"/>
      <c r="X24" s="353" t="str">
        <f>IF(AND(Riesgos!$K$28="Media",Riesgos!$O$28="Moderado"),CONCATENATE("R",Riesgos!$A$28),"")</f>
        <v/>
      </c>
      <c r="Y24" s="353"/>
      <c r="Z24" s="353" t="str">
        <f>IF(AND(Riesgos!$K$34="Media",Riesgos!$O$34="Moderado"),CONCATENATE("R",Riesgos!$A$34),"")</f>
        <v>R5</v>
      </c>
      <c r="AA24" s="354"/>
      <c r="AB24" s="370" t="str">
        <f>IF(AND(Riesgos!$K$22="Media",Riesgos!$O$22="Mayor"),CONCATENATE("R",Riesgos!$A$22),"")</f>
        <v>R3</v>
      </c>
      <c r="AC24" s="371"/>
      <c r="AD24" s="371" t="str">
        <f>IF(AND(Riesgos!$K$28="Media",Riesgos!$O$28="Mayor"),CONCATENATE("R",Riesgos!$A$28),"")</f>
        <v>R4</v>
      </c>
      <c r="AE24" s="371"/>
      <c r="AF24" s="371" t="str">
        <f>IF(AND(Riesgos!$K$34="Media",Riesgos!$O$34="Mayor"),CONCATENATE("R",Riesgos!$A$34),"")</f>
        <v/>
      </c>
      <c r="AG24" s="372"/>
      <c r="AH24" s="361" t="str">
        <f>IF(AND(Riesgos!$K$22="Media",Riesgos!$O$22="Catastrófico"),CONCATENATE("R",Riesgos!$A$22),"")</f>
        <v/>
      </c>
      <c r="AI24" s="362"/>
      <c r="AJ24" s="362" t="str">
        <f>IF(AND(Riesgos!$K$28="Media",Riesgos!$O$28="Catastrófico"),CONCATENATE("R",Riesgos!$A$28),"")</f>
        <v/>
      </c>
      <c r="AK24" s="362"/>
      <c r="AL24" s="362" t="str">
        <f>IF(AND(Riesgos!$K$34="Media",Riesgos!$O$34="Catastrófico"),CONCATENATE("R",Riesgos!$A$34),"")</f>
        <v/>
      </c>
      <c r="AM24" s="363"/>
      <c r="AN24" s="77"/>
      <c r="AO24" s="413"/>
      <c r="AP24" s="414"/>
      <c r="AQ24" s="414"/>
      <c r="AR24" s="414"/>
      <c r="AS24" s="414"/>
      <c r="AT24" s="415"/>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c r="BY24" s="77"/>
      <c r="BZ24" s="77"/>
      <c r="CA24" s="77"/>
      <c r="CB24" s="77"/>
    </row>
    <row r="25" spans="1:80" x14ac:dyDescent="0.25">
      <c r="A25" s="77"/>
      <c r="B25" s="390"/>
      <c r="C25" s="390"/>
      <c r="D25" s="391"/>
      <c r="E25" s="383"/>
      <c r="F25" s="384"/>
      <c r="G25" s="384"/>
      <c r="H25" s="384"/>
      <c r="I25" s="385"/>
      <c r="J25" s="352"/>
      <c r="K25" s="353"/>
      <c r="L25" s="353"/>
      <c r="M25" s="353"/>
      <c r="N25" s="353"/>
      <c r="O25" s="354"/>
      <c r="P25" s="352"/>
      <c r="Q25" s="353"/>
      <c r="R25" s="353"/>
      <c r="S25" s="353"/>
      <c r="T25" s="353"/>
      <c r="U25" s="354"/>
      <c r="V25" s="352"/>
      <c r="W25" s="353"/>
      <c r="X25" s="353"/>
      <c r="Y25" s="353"/>
      <c r="Z25" s="353"/>
      <c r="AA25" s="354"/>
      <c r="AB25" s="370"/>
      <c r="AC25" s="371"/>
      <c r="AD25" s="371"/>
      <c r="AE25" s="371"/>
      <c r="AF25" s="371"/>
      <c r="AG25" s="372"/>
      <c r="AH25" s="361"/>
      <c r="AI25" s="362"/>
      <c r="AJ25" s="362"/>
      <c r="AK25" s="362"/>
      <c r="AL25" s="362"/>
      <c r="AM25" s="363"/>
      <c r="AN25" s="77"/>
      <c r="AO25" s="413"/>
      <c r="AP25" s="414"/>
      <c r="AQ25" s="414"/>
      <c r="AR25" s="414"/>
      <c r="AS25" s="414"/>
      <c r="AT25" s="415"/>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77"/>
      <c r="BS25" s="77"/>
      <c r="BT25" s="77"/>
      <c r="BU25" s="77"/>
      <c r="BV25" s="77"/>
      <c r="BW25" s="77"/>
      <c r="BX25" s="77"/>
      <c r="BY25" s="77"/>
      <c r="BZ25" s="77"/>
      <c r="CA25" s="77"/>
      <c r="CB25" s="77"/>
    </row>
    <row r="26" spans="1:80" x14ac:dyDescent="0.25">
      <c r="A26" s="77"/>
      <c r="B26" s="390"/>
      <c r="C26" s="390"/>
      <c r="D26" s="391"/>
      <c r="E26" s="383"/>
      <c r="F26" s="384"/>
      <c r="G26" s="384"/>
      <c r="H26" s="384"/>
      <c r="I26" s="385"/>
      <c r="J26" s="352" t="str">
        <f>IF(AND(Riesgos!$K$40="Media",Riesgos!$O$40="Leve"),CONCATENATE("R",Riesgos!$A$40),"")</f>
        <v/>
      </c>
      <c r="K26" s="353"/>
      <c r="L26" s="353" t="str">
        <f>IF(AND(Riesgos!$K$46="Media",Riesgos!$O$46="Leve"),CONCATENATE("R",Riesgos!$A$46),"")</f>
        <v/>
      </c>
      <c r="M26" s="353"/>
      <c r="N26" s="353" t="str">
        <f>IF(AND(Riesgos!$K$52="Media",Riesgos!$O$52="Leve"),CONCATENATE("R",Riesgos!$A$52),"")</f>
        <v/>
      </c>
      <c r="O26" s="354"/>
      <c r="P26" s="352" t="str">
        <f>IF(AND(Riesgos!$K$40="Media",Riesgos!$O$40="Menor"),CONCATENATE("R",Riesgos!$A$40),"")</f>
        <v/>
      </c>
      <c r="Q26" s="353"/>
      <c r="R26" s="353" t="str">
        <f>IF(AND(Riesgos!$K$46="Media",Riesgos!$O$46="Menor"),CONCATENATE("R",Riesgos!$A$46),"")</f>
        <v/>
      </c>
      <c r="S26" s="353"/>
      <c r="T26" s="353" t="str">
        <f>IF(AND(Riesgos!$K$52="Media",Riesgos!$O$52="Menor"),CONCATENATE("R",Riesgos!$A$52),"")</f>
        <v/>
      </c>
      <c r="U26" s="354"/>
      <c r="V26" s="352" t="str">
        <f>IF(AND(Riesgos!$K$40="Media",Riesgos!$O$40="Moderado"),CONCATENATE("R",Riesgos!$A$40),"")</f>
        <v/>
      </c>
      <c r="W26" s="353"/>
      <c r="X26" s="353" t="str">
        <f>IF(AND(Riesgos!$K$46="Media",Riesgos!$O$46="Moderado"),CONCATENATE("R",Riesgos!$A$46),"")</f>
        <v/>
      </c>
      <c r="Y26" s="353"/>
      <c r="Z26" s="353" t="str">
        <f>IF(AND(Riesgos!$K$52="Media",Riesgos!$O$52="Moderado"),CONCATENATE("R",Riesgos!$A$52),"")</f>
        <v/>
      </c>
      <c r="AA26" s="354"/>
      <c r="AB26" s="370" t="str">
        <f>IF(AND(Riesgos!$K$40="Media",Riesgos!$O$40="Mayor"),CONCATENATE("R",Riesgos!$A$40),"")</f>
        <v/>
      </c>
      <c r="AC26" s="371"/>
      <c r="AD26" s="371" t="str">
        <f>IF(AND(Riesgos!$K$46="Media",Riesgos!$O$46="Mayor"),CONCATENATE("R",Riesgos!$A$46),"")</f>
        <v/>
      </c>
      <c r="AE26" s="371"/>
      <c r="AF26" s="371" t="str">
        <f>IF(AND(Riesgos!$K$52="Media",Riesgos!$O$52="Mayor"),CONCATENATE("R",Riesgos!$A$52),"")</f>
        <v/>
      </c>
      <c r="AG26" s="372"/>
      <c r="AH26" s="361" t="str">
        <f>IF(AND(Riesgos!$K$40="Media",Riesgos!$O$40="Catastrófico"),CONCATENATE("R",Riesgos!$A$40),"")</f>
        <v/>
      </c>
      <c r="AI26" s="362"/>
      <c r="AJ26" s="362" t="str">
        <f>IF(AND(Riesgos!$K$46="Media",Riesgos!$O$46="Catastrófico"),CONCATENATE("R",Riesgos!$A$46),"")</f>
        <v/>
      </c>
      <c r="AK26" s="362"/>
      <c r="AL26" s="362" t="str">
        <f>IF(AND(Riesgos!$K$52="Media",Riesgos!$O$52="Catastrófico"),CONCATENATE("R",Riesgos!$A$52),"")</f>
        <v/>
      </c>
      <c r="AM26" s="363"/>
      <c r="AN26" s="77"/>
      <c r="AO26" s="413"/>
      <c r="AP26" s="414"/>
      <c r="AQ26" s="414"/>
      <c r="AR26" s="414"/>
      <c r="AS26" s="414"/>
      <c r="AT26" s="415"/>
      <c r="AU26" s="77"/>
      <c r="AV26" s="77"/>
      <c r="AW26" s="77"/>
      <c r="AX26" s="77"/>
      <c r="AY26" s="77"/>
      <c r="AZ26" s="77"/>
      <c r="BA26" s="77"/>
      <c r="BB26" s="77"/>
      <c r="BC26" s="77"/>
      <c r="BD26" s="77"/>
      <c r="BE26" s="77"/>
      <c r="BF26" s="77"/>
      <c r="BG26" s="77"/>
      <c r="BH26" s="77"/>
      <c r="BI26" s="77"/>
      <c r="BJ26" s="77"/>
      <c r="BK26" s="77"/>
      <c r="BL26" s="77"/>
      <c r="BM26" s="77"/>
      <c r="BN26" s="77"/>
      <c r="BO26" s="77"/>
      <c r="BP26" s="77"/>
      <c r="BQ26" s="77"/>
      <c r="BR26" s="77"/>
      <c r="BS26" s="77"/>
      <c r="BT26" s="77"/>
      <c r="BU26" s="77"/>
      <c r="BV26" s="77"/>
      <c r="BW26" s="77"/>
      <c r="BX26" s="77"/>
      <c r="BY26" s="77"/>
      <c r="BZ26" s="77"/>
      <c r="CA26" s="77"/>
      <c r="CB26" s="77"/>
    </row>
    <row r="27" spans="1:80" x14ac:dyDescent="0.25">
      <c r="A27" s="77"/>
      <c r="B27" s="390"/>
      <c r="C27" s="390"/>
      <c r="D27" s="391"/>
      <c r="E27" s="383"/>
      <c r="F27" s="384"/>
      <c r="G27" s="384"/>
      <c r="H27" s="384"/>
      <c r="I27" s="385"/>
      <c r="J27" s="352"/>
      <c r="K27" s="353"/>
      <c r="L27" s="353"/>
      <c r="M27" s="353"/>
      <c r="N27" s="353"/>
      <c r="O27" s="354"/>
      <c r="P27" s="352"/>
      <c r="Q27" s="353"/>
      <c r="R27" s="353"/>
      <c r="S27" s="353"/>
      <c r="T27" s="353"/>
      <c r="U27" s="354"/>
      <c r="V27" s="352"/>
      <c r="W27" s="353"/>
      <c r="X27" s="353"/>
      <c r="Y27" s="353"/>
      <c r="Z27" s="353"/>
      <c r="AA27" s="354"/>
      <c r="AB27" s="370"/>
      <c r="AC27" s="371"/>
      <c r="AD27" s="371"/>
      <c r="AE27" s="371"/>
      <c r="AF27" s="371"/>
      <c r="AG27" s="372"/>
      <c r="AH27" s="361"/>
      <c r="AI27" s="362"/>
      <c r="AJ27" s="362"/>
      <c r="AK27" s="362"/>
      <c r="AL27" s="362"/>
      <c r="AM27" s="363"/>
      <c r="AN27" s="77"/>
      <c r="AO27" s="413"/>
      <c r="AP27" s="414"/>
      <c r="AQ27" s="414"/>
      <c r="AR27" s="414"/>
      <c r="AS27" s="414"/>
      <c r="AT27" s="415"/>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77"/>
      <c r="BW27" s="77"/>
      <c r="BX27" s="77"/>
      <c r="BY27" s="77"/>
      <c r="BZ27" s="77"/>
      <c r="CA27" s="77"/>
      <c r="CB27" s="77"/>
    </row>
    <row r="28" spans="1:80" x14ac:dyDescent="0.25">
      <c r="A28" s="77"/>
      <c r="B28" s="390"/>
      <c r="C28" s="390"/>
      <c r="D28" s="391"/>
      <c r="E28" s="383"/>
      <c r="F28" s="384"/>
      <c r="G28" s="384"/>
      <c r="H28" s="384"/>
      <c r="I28" s="385"/>
      <c r="J28" s="352" t="e">
        <f>IF(AND(Riesgos!#REF!="Media",Riesgos!#REF!="Leve"),CONCATENATE("R",Riesgos!#REF!),"")</f>
        <v>#REF!</v>
      </c>
      <c r="K28" s="353"/>
      <c r="L28" s="353" t="str">
        <f>IF(AND(Riesgos!$K$94="Media",Riesgos!$O$94="Leve"),CONCATENATE("R",Riesgos!$A$94),"")</f>
        <v/>
      </c>
      <c r="M28" s="353"/>
      <c r="N28" s="353" t="str">
        <f>IF(AND(Riesgos!$K$100="Media",Riesgos!$O$100="Leve"),CONCATENATE("R",Riesgos!$A$100),"")</f>
        <v/>
      </c>
      <c r="O28" s="354"/>
      <c r="P28" s="352" t="e">
        <f>IF(AND(Riesgos!#REF!="Media",Riesgos!#REF!="Menor"),CONCATENATE("R",Riesgos!#REF!),"")</f>
        <v>#REF!</v>
      </c>
      <c r="Q28" s="353"/>
      <c r="R28" s="353" t="str">
        <f>IF(AND(Riesgos!$K$94="Media",Riesgos!$O$94="Menor"),CONCATENATE("R",Riesgos!$A$94),"")</f>
        <v/>
      </c>
      <c r="S28" s="353"/>
      <c r="T28" s="353" t="str">
        <f>IF(AND(Riesgos!$K$100="Media",Riesgos!$O$100="Menor"),CONCATENATE("R",Riesgos!$A$100),"")</f>
        <v/>
      </c>
      <c r="U28" s="354"/>
      <c r="V28" s="352" t="e">
        <f>IF(AND(Riesgos!#REF!="Media",Riesgos!#REF!="Moderado"),CONCATENATE("R",Riesgos!#REF!),"")</f>
        <v>#REF!</v>
      </c>
      <c r="W28" s="353"/>
      <c r="X28" s="353" t="str">
        <f>IF(AND(Riesgos!$K$94="Media",Riesgos!$O$94="Moderado"),CONCATENATE("R",Riesgos!$A$94),"")</f>
        <v/>
      </c>
      <c r="Y28" s="353"/>
      <c r="Z28" s="353" t="str">
        <f>IF(AND(Riesgos!$K$100="Media",Riesgos!$O$100="Moderado"),CONCATENATE("R",Riesgos!$A$100),"")</f>
        <v/>
      </c>
      <c r="AA28" s="354"/>
      <c r="AB28" s="370" t="e">
        <f>IF(AND(Riesgos!#REF!="Media",Riesgos!#REF!="Mayor"),CONCATENATE("R",Riesgos!#REF!),"")</f>
        <v>#REF!</v>
      </c>
      <c r="AC28" s="371"/>
      <c r="AD28" s="371" t="str">
        <f>IF(AND(Riesgos!$K$94="Media",Riesgos!$O$94="Mayor"),CONCATENATE("R",Riesgos!$A$94),"")</f>
        <v/>
      </c>
      <c r="AE28" s="371"/>
      <c r="AF28" s="371" t="str">
        <f>IF(AND(Riesgos!$K$100="Media",Riesgos!$O$100="Mayor"),CONCATENATE("R",Riesgos!$A$100),"")</f>
        <v/>
      </c>
      <c r="AG28" s="372"/>
      <c r="AH28" s="361" t="e">
        <f>IF(AND(Riesgos!#REF!="Media",Riesgos!#REF!="Catastrófico"),CONCATENATE("R",Riesgos!#REF!),"")</f>
        <v>#REF!</v>
      </c>
      <c r="AI28" s="362"/>
      <c r="AJ28" s="362" t="str">
        <f>IF(AND(Riesgos!$K$94="Media",Riesgos!$O$94="Catastrófico"),CONCATENATE("R",Riesgos!$A$94),"")</f>
        <v/>
      </c>
      <c r="AK28" s="362"/>
      <c r="AL28" s="362" t="str">
        <f>IF(AND(Riesgos!$K$100="Media",Riesgos!$O$100="Catastrófico"),CONCATENATE("R",Riesgos!$A$100),"")</f>
        <v/>
      </c>
      <c r="AM28" s="363"/>
      <c r="AN28" s="77"/>
      <c r="AO28" s="413"/>
      <c r="AP28" s="414"/>
      <c r="AQ28" s="414"/>
      <c r="AR28" s="414"/>
      <c r="AS28" s="414"/>
      <c r="AT28" s="415"/>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77"/>
      <c r="BU28" s="77"/>
      <c r="BV28" s="77"/>
      <c r="BW28" s="77"/>
      <c r="BX28" s="77"/>
      <c r="BY28" s="77"/>
      <c r="BZ28" s="77"/>
      <c r="CA28" s="77"/>
      <c r="CB28" s="77"/>
    </row>
    <row r="29" spans="1:80" ht="15.75" thickBot="1" x14ac:dyDescent="0.3">
      <c r="A29" s="77"/>
      <c r="B29" s="390"/>
      <c r="C29" s="390"/>
      <c r="D29" s="391"/>
      <c r="E29" s="386"/>
      <c r="F29" s="387"/>
      <c r="G29" s="387"/>
      <c r="H29" s="387"/>
      <c r="I29" s="388"/>
      <c r="J29" s="352"/>
      <c r="K29" s="353"/>
      <c r="L29" s="353"/>
      <c r="M29" s="353"/>
      <c r="N29" s="353"/>
      <c r="O29" s="354"/>
      <c r="P29" s="355"/>
      <c r="Q29" s="356"/>
      <c r="R29" s="356"/>
      <c r="S29" s="356"/>
      <c r="T29" s="356"/>
      <c r="U29" s="357"/>
      <c r="V29" s="355"/>
      <c r="W29" s="356"/>
      <c r="X29" s="356"/>
      <c r="Y29" s="356"/>
      <c r="Z29" s="356"/>
      <c r="AA29" s="357"/>
      <c r="AB29" s="373"/>
      <c r="AC29" s="374"/>
      <c r="AD29" s="374"/>
      <c r="AE29" s="374"/>
      <c r="AF29" s="374"/>
      <c r="AG29" s="375"/>
      <c r="AH29" s="364"/>
      <c r="AI29" s="365"/>
      <c r="AJ29" s="365"/>
      <c r="AK29" s="365"/>
      <c r="AL29" s="365"/>
      <c r="AM29" s="366"/>
      <c r="AN29" s="77"/>
      <c r="AO29" s="416"/>
      <c r="AP29" s="417"/>
      <c r="AQ29" s="417"/>
      <c r="AR29" s="417"/>
      <c r="AS29" s="417"/>
      <c r="AT29" s="418"/>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row>
    <row r="30" spans="1:80" x14ac:dyDescent="0.25">
      <c r="A30" s="77"/>
      <c r="B30" s="390"/>
      <c r="C30" s="390"/>
      <c r="D30" s="391"/>
      <c r="E30" s="380" t="s">
        <v>111</v>
      </c>
      <c r="F30" s="381"/>
      <c r="G30" s="381"/>
      <c r="H30" s="381"/>
      <c r="I30" s="381"/>
      <c r="J30" s="349" t="str">
        <f>IF(AND(Riesgos!$K$10="Baja",Riesgos!$O$10="Leve"),CONCATENATE("R",Riesgos!$A$10),"")</f>
        <v/>
      </c>
      <c r="K30" s="350"/>
      <c r="L30" s="350" t="str">
        <f>IF(AND(Riesgos!$K$16="Baja",Riesgos!$O$16="Leve"),CONCATENATE("R",Riesgos!$A$16),"")</f>
        <v/>
      </c>
      <c r="M30" s="350"/>
      <c r="N30" s="350" t="e">
        <f>IF(AND(Riesgos!#REF!="Baja",Riesgos!#REF!="Leve"),CONCATENATE("R",Riesgos!#REF!),"")</f>
        <v>#REF!</v>
      </c>
      <c r="O30" s="351"/>
      <c r="P30" s="359" t="str">
        <f>IF(AND(Riesgos!$K$10="Baja",Riesgos!$O$10="Menor"),CONCATENATE("R",Riesgos!$A$10),"")</f>
        <v/>
      </c>
      <c r="Q30" s="359"/>
      <c r="R30" s="359" t="str">
        <f>IF(AND(Riesgos!$K$16="Baja",Riesgos!$O$16="Menor"),CONCATENATE("R",Riesgos!$A$16),"")</f>
        <v/>
      </c>
      <c r="S30" s="359"/>
      <c r="T30" s="359" t="e">
        <f>IF(AND(Riesgos!#REF!="Baja",Riesgos!#REF!="Menor"),CONCATENATE("R",Riesgos!#REF!),"")</f>
        <v>#REF!</v>
      </c>
      <c r="U30" s="360"/>
      <c r="V30" s="358" t="str">
        <f>IF(AND(Riesgos!$K$10="Baja",Riesgos!$O$10="Moderado"),CONCATENATE("R",Riesgos!$A$10),"")</f>
        <v/>
      </c>
      <c r="W30" s="359"/>
      <c r="X30" s="359" t="str">
        <f>IF(AND(Riesgos!$K$16="Baja",Riesgos!$O$16="Moderado"),CONCATENATE("R",Riesgos!$A$16),"")</f>
        <v/>
      </c>
      <c r="Y30" s="359"/>
      <c r="Z30" s="359" t="e">
        <f>IF(AND(Riesgos!#REF!="Baja",Riesgos!#REF!="Moderado"),CONCATENATE("R",Riesgos!#REF!),"")</f>
        <v>#REF!</v>
      </c>
      <c r="AA30" s="360"/>
      <c r="AB30" s="376" t="str">
        <f>IF(AND(Riesgos!$K$10="Baja",Riesgos!$O$10="Mayor"),CONCATENATE("R",Riesgos!$A$10),"")</f>
        <v/>
      </c>
      <c r="AC30" s="377"/>
      <c r="AD30" s="377" t="str">
        <f>IF(AND(Riesgos!$K$16="Baja",Riesgos!$O$16="Mayor"),CONCATENATE("R",Riesgos!$A$16),"")</f>
        <v/>
      </c>
      <c r="AE30" s="377"/>
      <c r="AF30" s="377" t="e">
        <f>IF(AND(Riesgos!#REF!="Baja",Riesgos!#REF!="Mayor"),CONCATENATE("R",Riesgos!#REF!),"")</f>
        <v>#REF!</v>
      </c>
      <c r="AG30" s="378"/>
      <c r="AH30" s="367" t="str">
        <f>IF(AND(Riesgos!$K$10="Baja",Riesgos!$O$10="Catastrófico"),CONCATENATE("R",Riesgos!$A$10),"")</f>
        <v/>
      </c>
      <c r="AI30" s="368"/>
      <c r="AJ30" s="368" t="str">
        <f>IF(AND(Riesgos!$K$16="Baja",Riesgos!$O$16="Catastrófico"),CONCATENATE("R",Riesgos!$A$16),"")</f>
        <v/>
      </c>
      <c r="AK30" s="368"/>
      <c r="AL30" s="368" t="e">
        <f>IF(AND(Riesgos!#REF!="Baja",Riesgos!#REF!="Catastrófico"),CONCATENATE("R",Riesgos!#REF!),"")</f>
        <v>#REF!</v>
      </c>
      <c r="AM30" s="369"/>
      <c r="AN30" s="77"/>
      <c r="AO30" s="419" t="s">
        <v>79</v>
      </c>
      <c r="AP30" s="420"/>
      <c r="AQ30" s="420"/>
      <c r="AR30" s="420"/>
      <c r="AS30" s="420"/>
      <c r="AT30" s="421"/>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7"/>
      <c r="BS30" s="77"/>
      <c r="BT30" s="77"/>
      <c r="BU30" s="77"/>
      <c r="BV30" s="77"/>
      <c r="BW30" s="77"/>
      <c r="BX30" s="77"/>
      <c r="BY30" s="77"/>
      <c r="BZ30" s="77"/>
      <c r="CA30" s="77"/>
      <c r="CB30" s="77"/>
    </row>
    <row r="31" spans="1:80" x14ac:dyDescent="0.25">
      <c r="A31" s="77"/>
      <c r="B31" s="390"/>
      <c r="C31" s="390"/>
      <c r="D31" s="391"/>
      <c r="E31" s="383"/>
      <c r="F31" s="384"/>
      <c r="G31" s="384"/>
      <c r="H31" s="384"/>
      <c r="I31" s="384"/>
      <c r="J31" s="343"/>
      <c r="K31" s="344"/>
      <c r="L31" s="344"/>
      <c r="M31" s="344"/>
      <c r="N31" s="344"/>
      <c r="O31" s="345"/>
      <c r="P31" s="353"/>
      <c r="Q31" s="353"/>
      <c r="R31" s="353"/>
      <c r="S31" s="353"/>
      <c r="T31" s="353"/>
      <c r="U31" s="354"/>
      <c r="V31" s="352"/>
      <c r="W31" s="353"/>
      <c r="X31" s="353"/>
      <c r="Y31" s="353"/>
      <c r="Z31" s="353"/>
      <c r="AA31" s="354"/>
      <c r="AB31" s="370"/>
      <c r="AC31" s="371"/>
      <c r="AD31" s="371"/>
      <c r="AE31" s="371"/>
      <c r="AF31" s="371"/>
      <c r="AG31" s="372"/>
      <c r="AH31" s="361"/>
      <c r="AI31" s="362"/>
      <c r="AJ31" s="362"/>
      <c r="AK31" s="362"/>
      <c r="AL31" s="362"/>
      <c r="AM31" s="363"/>
      <c r="AN31" s="77"/>
      <c r="AO31" s="422"/>
      <c r="AP31" s="423"/>
      <c r="AQ31" s="423"/>
      <c r="AR31" s="423"/>
      <c r="AS31" s="423"/>
      <c r="AT31" s="424"/>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7"/>
      <c r="BU31" s="77"/>
      <c r="BV31" s="77"/>
      <c r="BW31" s="77"/>
      <c r="BX31" s="77"/>
      <c r="BY31" s="77"/>
      <c r="BZ31" s="77"/>
      <c r="CA31" s="77"/>
      <c r="CB31" s="77"/>
    </row>
    <row r="32" spans="1:80" x14ac:dyDescent="0.25">
      <c r="A32" s="77"/>
      <c r="B32" s="390"/>
      <c r="C32" s="390"/>
      <c r="D32" s="391"/>
      <c r="E32" s="383"/>
      <c r="F32" s="384"/>
      <c r="G32" s="384"/>
      <c r="H32" s="384"/>
      <c r="I32" s="384"/>
      <c r="J32" s="343" t="str">
        <f>IF(AND(Riesgos!$K$22="Baja",Riesgos!$O$22="Leve"),CONCATENATE("R",Riesgos!$A$22),"")</f>
        <v/>
      </c>
      <c r="K32" s="344"/>
      <c r="L32" s="344" t="str">
        <f>IF(AND(Riesgos!$K$28="Baja",Riesgos!$O$28="Leve"),CONCATENATE("R",Riesgos!$A$28),"")</f>
        <v/>
      </c>
      <c r="M32" s="344"/>
      <c r="N32" s="344" t="str">
        <f>IF(AND(Riesgos!$K$34="Baja",Riesgos!$O$34="Leve"),CONCATENATE("R",Riesgos!$A$34),"")</f>
        <v/>
      </c>
      <c r="O32" s="345"/>
      <c r="P32" s="353" t="str">
        <f>IF(AND(Riesgos!$K$22="Baja",Riesgos!$O$22="Menor"),CONCATENATE("R",Riesgos!$A$22),"")</f>
        <v/>
      </c>
      <c r="Q32" s="353"/>
      <c r="R32" s="353" t="str">
        <f>IF(AND(Riesgos!$K$28="Baja",Riesgos!$O$28="Menor"),CONCATENATE("R",Riesgos!$A$28),"")</f>
        <v/>
      </c>
      <c r="S32" s="353"/>
      <c r="T32" s="353" t="str">
        <f>IF(AND(Riesgos!$K$34="Baja",Riesgos!$O$34="Menor"),CONCATENATE("R",Riesgos!$A$34),"")</f>
        <v/>
      </c>
      <c r="U32" s="354"/>
      <c r="V32" s="352" t="str">
        <f>IF(AND(Riesgos!$K$22="Baja",Riesgos!$O$22="Moderado"),CONCATENATE("R",Riesgos!$A$22),"")</f>
        <v/>
      </c>
      <c r="W32" s="353"/>
      <c r="X32" s="353" t="str">
        <f>IF(AND(Riesgos!$K$28="Baja",Riesgos!$O$28="Moderado"),CONCATENATE("R",Riesgos!$A$28),"")</f>
        <v/>
      </c>
      <c r="Y32" s="353"/>
      <c r="Z32" s="353" t="str">
        <f>IF(AND(Riesgos!$K$34="Baja",Riesgos!$O$34="Moderado"),CONCATENATE("R",Riesgos!$A$34),"")</f>
        <v/>
      </c>
      <c r="AA32" s="354"/>
      <c r="AB32" s="370" t="str">
        <f>IF(AND(Riesgos!$K$22="Baja",Riesgos!$O$22="Mayor"),CONCATENATE("R",Riesgos!$A$22),"")</f>
        <v/>
      </c>
      <c r="AC32" s="371"/>
      <c r="AD32" s="371" t="str">
        <f>IF(AND(Riesgos!$K$28="Baja",Riesgos!$O$28="Mayor"),CONCATENATE("R",Riesgos!$A$28),"")</f>
        <v/>
      </c>
      <c r="AE32" s="371"/>
      <c r="AF32" s="371" t="str">
        <f>IF(AND(Riesgos!$K$34="Baja",Riesgos!$O$34="Mayor"),CONCATENATE("R",Riesgos!$A$34),"")</f>
        <v/>
      </c>
      <c r="AG32" s="372"/>
      <c r="AH32" s="361" t="str">
        <f>IF(AND(Riesgos!$K$22="Baja",Riesgos!$O$22="Catastrófico"),CONCATENATE("R",Riesgos!$A$22),"")</f>
        <v/>
      </c>
      <c r="AI32" s="362"/>
      <c r="AJ32" s="362" t="str">
        <f>IF(AND(Riesgos!$K$28="Baja",Riesgos!$O$28="Catastrófico"),CONCATENATE("R",Riesgos!$A$28),"")</f>
        <v/>
      </c>
      <c r="AK32" s="362"/>
      <c r="AL32" s="362" t="str">
        <f>IF(AND(Riesgos!$K$34="Baja",Riesgos!$O$34="Catastrófico"),CONCATENATE("R",Riesgos!$A$34),"")</f>
        <v/>
      </c>
      <c r="AM32" s="363"/>
      <c r="AN32" s="77"/>
      <c r="AO32" s="422"/>
      <c r="AP32" s="423"/>
      <c r="AQ32" s="423"/>
      <c r="AR32" s="423"/>
      <c r="AS32" s="423"/>
      <c r="AT32" s="424"/>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7"/>
      <c r="BT32" s="77"/>
      <c r="BU32" s="77"/>
      <c r="BV32" s="77"/>
      <c r="BW32" s="77"/>
      <c r="BX32" s="77"/>
      <c r="BY32" s="77"/>
      <c r="BZ32" s="77"/>
      <c r="CA32" s="77"/>
      <c r="CB32" s="77"/>
    </row>
    <row r="33" spans="1:80" x14ac:dyDescent="0.25">
      <c r="A33" s="77"/>
      <c r="B33" s="390"/>
      <c r="C33" s="390"/>
      <c r="D33" s="391"/>
      <c r="E33" s="383"/>
      <c r="F33" s="384"/>
      <c r="G33" s="384"/>
      <c r="H33" s="384"/>
      <c r="I33" s="384"/>
      <c r="J33" s="343"/>
      <c r="K33" s="344"/>
      <c r="L33" s="344"/>
      <c r="M33" s="344"/>
      <c r="N33" s="344"/>
      <c r="O33" s="345"/>
      <c r="P33" s="353"/>
      <c r="Q33" s="353"/>
      <c r="R33" s="353"/>
      <c r="S33" s="353"/>
      <c r="T33" s="353"/>
      <c r="U33" s="354"/>
      <c r="V33" s="352"/>
      <c r="W33" s="353"/>
      <c r="X33" s="353"/>
      <c r="Y33" s="353"/>
      <c r="Z33" s="353"/>
      <c r="AA33" s="354"/>
      <c r="AB33" s="370"/>
      <c r="AC33" s="371"/>
      <c r="AD33" s="371"/>
      <c r="AE33" s="371"/>
      <c r="AF33" s="371"/>
      <c r="AG33" s="372"/>
      <c r="AH33" s="361"/>
      <c r="AI33" s="362"/>
      <c r="AJ33" s="362"/>
      <c r="AK33" s="362"/>
      <c r="AL33" s="362"/>
      <c r="AM33" s="363"/>
      <c r="AN33" s="77"/>
      <c r="AO33" s="422"/>
      <c r="AP33" s="423"/>
      <c r="AQ33" s="423"/>
      <c r="AR33" s="423"/>
      <c r="AS33" s="423"/>
      <c r="AT33" s="424"/>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row>
    <row r="34" spans="1:80" x14ac:dyDescent="0.25">
      <c r="A34" s="77"/>
      <c r="B34" s="390"/>
      <c r="C34" s="390"/>
      <c r="D34" s="391"/>
      <c r="E34" s="383"/>
      <c r="F34" s="384"/>
      <c r="G34" s="384"/>
      <c r="H34" s="384"/>
      <c r="I34" s="384"/>
      <c r="J34" s="343" t="str">
        <f>IF(AND(Riesgos!$K$40="Baja",Riesgos!$O$40="Leve"),CONCATENATE("R",Riesgos!$A$40),"")</f>
        <v/>
      </c>
      <c r="K34" s="344"/>
      <c r="L34" s="344" t="str">
        <f>IF(AND(Riesgos!$K$46="Baja",Riesgos!$O$46="Leve"),CONCATENATE("R",Riesgos!$A$46),"")</f>
        <v/>
      </c>
      <c r="M34" s="344"/>
      <c r="N34" s="344" t="str">
        <f>IF(AND(Riesgos!$K$52="Baja",Riesgos!$O$52="Leve"),CONCATENATE("R",Riesgos!$A$52),"")</f>
        <v/>
      </c>
      <c r="O34" s="345"/>
      <c r="P34" s="353" t="str">
        <f>IF(AND(Riesgos!$K$40="Baja",Riesgos!$O$40="Menor"),CONCATENATE("R",Riesgos!$A$40),"")</f>
        <v/>
      </c>
      <c r="Q34" s="353"/>
      <c r="R34" s="353" t="str">
        <f>IF(AND(Riesgos!$K$46="Baja",Riesgos!$O$46="Menor"),CONCATENATE("R",Riesgos!$A$46),"")</f>
        <v/>
      </c>
      <c r="S34" s="353"/>
      <c r="T34" s="353" t="str">
        <f>IF(AND(Riesgos!$K$52="Baja",Riesgos!$O$52="Menor"),CONCATENATE("R",Riesgos!$A$52),"")</f>
        <v/>
      </c>
      <c r="U34" s="354"/>
      <c r="V34" s="352" t="str">
        <f>IF(AND(Riesgos!$K$40="Baja",Riesgos!$O$40="Moderado"),CONCATENATE("R",Riesgos!$A$40),"")</f>
        <v/>
      </c>
      <c r="W34" s="353"/>
      <c r="X34" s="353" t="str">
        <f>IF(AND(Riesgos!$K$46="Baja",Riesgos!$O$46="Moderado"),CONCATENATE("R",Riesgos!$A$46),"")</f>
        <v/>
      </c>
      <c r="Y34" s="353"/>
      <c r="Z34" s="353" t="str">
        <f>IF(AND(Riesgos!$K$52="Baja",Riesgos!$O$52="Moderado"),CONCATENATE("R",Riesgos!$A$52),"")</f>
        <v/>
      </c>
      <c r="AA34" s="354"/>
      <c r="AB34" s="370" t="str">
        <f>IF(AND(Riesgos!$K$40="Baja",Riesgos!$O$40="Mayor"),CONCATENATE("R",Riesgos!$A$40),"")</f>
        <v/>
      </c>
      <c r="AC34" s="371"/>
      <c r="AD34" s="371" t="str">
        <f>IF(AND(Riesgos!$K$46="Baja",Riesgos!$O$46="Mayor"),CONCATENATE("R",Riesgos!$A$46),"")</f>
        <v/>
      </c>
      <c r="AE34" s="371"/>
      <c r="AF34" s="371" t="str">
        <f>IF(AND(Riesgos!$K$52="Baja",Riesgos!$O$52="Mayor"),CONCATENATE("R",Riesgos!$A$52),"")</f>
        <v/>
      </c>
      <c r="AG34" s="372"/>
      <c r="AH34" s="361" t="str">
        <f>IF(AND(Riesgos!$K$40="Baja",Riesgos!$O$40="Catastrófico"),CONCATENATE("R",Riesgos!$A$40),"")</f>
        <v/>
      </c>
      <c r="AI34" s="362"/>
      <c r="AJ34" s="362" t="str">
        <f>IF(AND(Riesgos!$K$46="Baja",Riesgos!$O$46="Catastrófico"),CONCATENATE("R",Riesgos!$A$46),"")</f>
        <v/>
      </c>
      <c r="AK34" s="362"/>
      <c r="AL34" s="362" t="str">
        <f>IF(AND(Riesgos!$K$52="Baja",Riesgos!$O$52="Catastrófico"),CONCATENATE("R",Riesgos!$A$52),"")</f>
        <v/>
      </c>
      <c r="AM34" s="363"/>
      <c r="AN34" s="77"/>
      <c r="AO34" s="422"/>
      <c r="AP34" s="423"/>
      <c r="AQ34" s="423"/>
      <c r="AR34" s="423"/>
      <c r="AS34" s="423"/>
      <c r="AT34" s="424"/>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c r="BY34" s="77"/>
      <c r="BZ34" s="77"/>
      <c r="CA34" s="77"/>
      <c r="CB34" s="77"/>
    </row>
    <row r="35" spans="1:80" x14ac:dyDescent="0.25">
      <c r="A35" s="77"/>
      <c r="B35" s="390"/>
      <c r="C35" s="390"/>
      <c r="D35" s="391"/>
      <c r="E35" s="383"/>
      <c r="F35" s="384"/>
      <c r="G35" s="384"/>
      <c r="H35" s="384"/>
      <c r="I35" s="384"/>
      <c r="J35" s="343"/>
      <c r="K35" s="344"/>
      <c r="L35" s="344"/>
      <c r="M35" s="344"/>
      <c r="N35" s="344"/>
      <c r="O35" s="345"/>
      <c r="P35" s="353"/>
      <c r="Q35" s="353"/>
      <c r="R35" s="353"/>
      <c r="S35" s="353"/>
      <c r="T35" s="353"/>
      <c r="U35" s="354"/>
      <c r="V35" s="352"/>
      <c r="W35" s="353"/>
      <c r="X35" s="353"/>
      <c r="Y35" s="353"/>
      <c r="Z35" s="353"/>
      <c r="AA35" s="354"/>
      <c r="AB35" s="370"/>
      <c r="AC35" s="371"/>
      <c r="AD35" s="371"/>
      <c r="AE35" s="371"/>
      <c r="AF35" s="371"/>
      <c r="AG35" s="372"/>
      <c r="AH35" s="361"/>
      <c r="AI35" s="362"/>
      <c r="AJ35" s="362"/>
      <c r="AK35" s="362"/>
      <c r="AL35" s="362"/>
      <c r="AM35" s="363"/>
      <c r="AN35" s="77"/>
      <c r="AO35" s="422"/>
      <c r="AP35" s="423"/>
      <c r="AQ35" s="423"/>
      <c r="AR35" s="423"/>
      <c r="AS35" s="423"/>
      <c r="AT35" s="424"/>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c r="BY35" s="77"/>
      <c r="BZ35" s="77"/>
      <c r="CA35" s="77"/>
      <c r="CB35" s="77"/>
    </row>
    <row r="36" spans="1:80" x14ac:dyDescent="0.25">
      <c r="A36" s="77"/>
      <c r="B36" s="390"/>
      <c r="C36" s="390"/>
      <c r="D36" s="391"/>
      <c r="E36" s="383"/>
      <c r="F36" s="384"/>
      <c r="G36" s="384"/>
      <c r="H36" s="384"/>
      <c r="I36" s="384"/>
      <c r="J36" s="343" t="e">
        <f>IF(AND(Riesgos!#REF!="Baja",Riesgos!#REF!="Leve"),CONCATENATE("R",Riesgos!#REF!),"")</f>
        <v>#REF!</v>
      </c>
      <c r="K36" s="344"/>
      <c r="L36" s="344" t="str">
        <f>IF(AND(Riesgos!$K$94="Baja",Riesgos!$O$94="Leve"),CONCATENATE("R",Riesgos!$A$94),"")</f>
        <v/>
      </c>
      <c r="M36" s="344"/>
      <c r="N36" s="344" t="str">
        <f>IF(AND(Riesgos!$K$100="Baja",Riesgos!$O$100="Leve"),CONCATENATE("R",Riesgos!$A$100),"")</f>
        <v/>
      </c>
      <c r="O36" s="345"/>
      <c r="P36" s="353" t="e">
        <f>IF(AND(Riesgos!#REF!="Baja",Riesgos!#REF!="Menor"),CONCATENATE("R",Riesgos!#REF!),"")</f>
        <v>#REF!</v>
      </c>
      <c r="Q36" s="353"/>
      <c r="R36" s="353" t="str">
        <f>IF(AND(Riesgos!$K$94="Baja",Riesgos!$O$94="Menor"),CONCATENATE("R",Riesgos!$A$94),"")</f>
        <v/>
      </c>
      <c r="S36" s="353"/>
      <c r="T36" s="353" t="str">
        <f>IF(AND(Riesgos!$K$100="Baja",Riesgos!$O$100="Menor"),CONCATENATE("R",Riesgos!$A$100),"")</f>
        <v/>
      </c>
      <c r="U36" s="354"/>
      <c r="V36" s="352" t="e">
        <f>IF(AND(Riesgos!#REF!="Baja",Riesgos!#REF!="Moderado"),CONCATENATE("R",Riesgos!#REF!),"")</f>
        <v>#REF!</v>
      </c>
      <c r="W36" s="353"/>
      <c r="X36" s="353" t="str">
        <f>IF(AND(Riesgos!$K$94="Baja",Riesgos!$O$94="Moderado"),CONCATENATE("R",Riesgos!$A$94),"")</f>
        <v/>
      </c>
      <c r="Y36" s="353"/>
      <c r="Z36" s="353" t="str">
        <f>IF(AND(Riesgos!$K$100="Baja",Riesgos!$O$100="Moderado"),CONCATENATE("R",Riesgos!$A$100),"")</f>
        <v/>
      </c>
      <c r="AA36" s="354"/>
      <c r="AB36" s="370" t="e">
        <f>IF(AND(Riesgos!#REF!="Baja",Riesgos!#REF!="Mayor"),CONCATENATE("R",Riesgos!#REF!),"")</f>
        <v>#REF!</v>
      </c>
      <c r="AC36" s="371"/>
      <c r="AD36" s="371" t="str">
        <f>IF(AND(Riesgos!$K$94="Baja",Riesgos!$O$94="Mayor"),CONCATENATE("R",Riesgos!$A$94),"")</f>
        <v/>
      </c>
      <c r="AE36" s="371"/>
      <c r="AF36" s="371" t="str">
        <f>IF(AND(Riesgos!$K$100="Baja",Riesgos!$O$100="Mayor"),CONCATENATE("R",Riesgos!$A$100),"")</f>
        <v/>
      </c>
      <c r="AG36" s="372"/>
      <c r="AH36" s="361" t="e">
        <f>IF(AND(Riesgos!#REF!="Baja",Riesgos!#REF!="Catastrófico"),CONCATENATE("R",Riesgos!#REF!),"")</f>
        <v>#REF!</v>
      </c>
      <c r="AI36" s="362"/>
      <c r="AJ36" s="362" t="str">
        <f>IF(AND(Riesgos!$K$94="Baja",Riesgos!$O$94="Catastrófico"),CONCATENATE("R",Riesgos!$A$94),"")</f>
        <v/>
      </c>
      <c r="AK36" s="362"/>
      <c r="AL36" s="362" t="str">
        <f>IF(AND(Riesgos!$K$100="Baja",Riesgos!$O$100="Catastrófico"),CONCATENATE("R",Riesgos!$A$100),"")</f>
        <v/>
      </c>
      <c r="AM36" s="363"/>
      <c r="AN36" s="77"/>
      <c r="AO36" s="422"/>
      <c r="AP36" s="423"/>
      <c r="AQ36" s="423"/>
      <c r="AR36" s="423"/>
      <c r="AS36" s="423"/>
      <c r="AT36" s="424"/>
      <c r="AU36" s="77"/>
      <c r="AV36" s="77"/>
      <c r="AW36" s="77"/>
      <c r="AX36" s="77"/>
      <c r="AY36" s="77"/>
      <c r="AZ36" s="77"/>
      <c r="BA36" s="77"/>
      <c r="BB36" s="77"/>
      <c r="BC36" s="77"/>
      <c r="BD36" s="77"/>
      <c r="BE36" s="77"/>
      <c r="BF36" s="77"/>
      <c r="BG36" s="77"/>
      <c r="BH36" s="77"/>
      <c r="BI36" s="77"/>
      <c r="BJ36" s="77"/>
      <c r="BK36" s="77"/>
      <c r="BL36" s="77"/>
      <c r="BM36" s="77"/>
      <c r="BN36" s="77"/>
      <c r="BO36" s="77"/>
      <c r="BP36" s="77"/>
      <c r="BQ36" s="77"/>
      <c r="BR36" s="77"/>
      <c r="BS36" s="77"/>
      <c r="BT36" s="77"/>
      <c r="BU36" s="77"/>
      <c r="BV36" s="77"/>
      <c r="BW36" s="77"/>
      <c r="BX36" s="77"/>
      <c r="BY36" s="77"/>
      <c r="BZ36" s="77"/>
      <c r="CA36" s="77"/>
      <c r="CB36" s="77"/>
    </row>
    <row r="37" spans="1:80" ht="15.75" thickBot="1" x14ac:dyDescent="0.3">
      <c r="A37" s="77"/>
      <c r="B37" s="390"/>
      <c r="C37" s="390"/>
      <c r="D37" s="391"/>
      <c r="E37" s="386"/>
      <c r="F37" s="387"/>
      <c r="G37" s="387"/>
      <c r="H37" s="387"/>
      <c r="I37" s="387"/>
      <c r="J37" s="346"/>
      <c r="K37" s="347"/>
      <c r="L37" s="347"/>
      <c r="M37" s="347"/>
      <c r="N37" s="347"/>
      <c r="O37" s="348"/>
      <c r="P37" s="356"/>
      <c r="Q37" s="356"/>
      <c r="R37" s="356"/>
      <c r="S37" s="356"/>
      <c r="T37" s="356"/>
      <c r="U37" s="357"/>
      <c r="V37" s="355"/>
      <c r="W37" s="356"/>
      <c r="X37" s="356"/>
      <c r="Y37" s="356"/>
      <c r="Z37" s="356"/>
      <c r="AA37" s="357"/>
      <c r="AB37" s="373"/>
      <c r="AC37" s="374"/>
      <c r="AD37" s="374"/>
      <c r="AE37" s="374"/>
      <c r="AF37" s="374"/>
      <c r="AG37" s="375"/>
      <c r="AH37" s="364"/>
      <c r="AI37" s="365"/>
      <c r="AJ37" s="365"/>
      <c r="AK37" s="365"/>
      <c r="AL37" s="365"/>
      <c r="AM37" s="366"/>
      <c r="AN37" s="77"/>
      <c r="AO37" s="425"/>
      <c r="AP37" s="426"/>
      <c r="AQ37" s="426"/>
      <c r="AR37" s="426"/>
      <c r="AS37" s="426"/>
      <c r="AT37" s="42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7"/>
      <c r="BY37" s="77"/>
      <c r="BZ37" s="77"/>
      <c r="CA37" s="77"/>
      <c r="CB37" s="77"/>
    </row>
    <row r="38" spans="1:80" x14ac:dyDescent="0.25">
      <c r="A38" s="77"/>
      <c r="B38" s="390"/>
      <c r="C38" s="390"/>
      <c r="D38" s="391"/>
      <c r="E38" s="380" t="s">
        <v>110</v>
      </c>
      <c r="F38" s="381"/>
      <c r="G38" s="381"/>
      <c r="H38" s="381"/>
      <c r="I38" s="382"/>
      <c r="J38" s="349" t="str">
        <f>IF(AND(Riesgos!$K$10="Muy Baja",Riesgos!$O$10="Leve"),CONCATENATE("R",Riesgos!$A$10),"")</f>
        <v/>
      </c>
      <c r="K38" s="350"/>
      <c r="L38" s="350" t="str">
        <f>IF(AND(Riesgos!$K$16="Muy Baja",Riesgos!$O$16="Leve"),CONCATENATE("R",Riesgos!$A$16),"")</f>
        <v/>
      </c>
      <c r="M38" s="350"/>
      <c r="N38" s="350" t="e">
        <f>IF(AND(Riesgos!#REF!="Muy Baja",Riesgos!#REF!="Leve"),CONCATENATE("R",Riesgos!#REF!),"")</f>
        <v>#REF!</v>
      </c>
      <c r="O38" s="351"/>
      <c r="P38" s="349" t="str">
        <f>IF(AND(Riesgos!$K$10="Muy Baja",Riesgos!$O$10="Menor"),CONCATENATE("R",Riesgos!$A$10),"")</f>
        <v/>
      </c>
      <c r="Q38" s="350"/>
      <c r="R38" s="350" t="str">
        <f>IF(AND(Riesgos!$K$16="Muy Baja",Riesgos!$O$16="Menor"),CONCATENATE("R",Riesgos!$A$16),"")</f>
        <v/>
      </c>
      <c r="S38" s="350"/>
      <c r="T38" s="350" t="e">
        <f>IF(AND(Riesgos!#REF!="Muy Baja",Riesgos!#REF!="Menor"),CONCATENATE("R",Riesgos!#REF!),"")</f>
        <v>#REF!</v>
      </c>
      <c r="U38" s="351"/>
      <c r="V38" s="358" t="str">
        <f>IF(AND(Riesgos!$K$10="Muy Baja",Riesgos!$O$10="Moderado"),CONCATENATE("R",Riesgos!$A$10),"")</f>
        <v/>
      </c>
      <c r="W38" s="359"/>
      <c r="X38" s="359" t="str">
        <f>IF(AND(Riesgos!$K$16="Muy Baja",Riesgos!$O$16="Moderado"),CONCATENATE("R",Riesgos!$A$16),"")</f>
        <v/>
      </c>
      <c r="Y38" s="359"/>
      <c r="Z38" s="359" t="e">
        <f>IF(AND(Riesgos!#REF!="Muy Baja",Riesgos!#REF!="Moderado"),CONCATENATE("R",Riesgos!#REF!),"")</f>
        <v>#REF!</v>
      </c>
      <c r="AA38" s="360"/>
      <c r="AB38" s="376" t="str">
        <f>IF(AND(Riesgos!$K$10="Muy Baja",Riesgos!$O$10="Mayor"),CONCATENATE("R",Riesgos!$A$10),"")</f>
        <v>R1</v>
      </c>
      <c r="AC38" s="377"/>
      <c r="AD38" s="377" t="str">
        <f>IF(AND(Riesgos!$K$16="Muy Baja",Riesgos!$O$16="Mayor"),CONCATENATE("R",Riesgos!$A$16),"")</f>
        <v>R2</v>
      </c>
      <c r="AE38" s="377"/>
      <c r="AF38" s="377" t="e">
        <f>IF(AND(Riesgos!#REF!="Muy Baja",Riesgos!#REF!="Mayor"),CONCATENATE("R",Riesgos!#REF!),"")</f>
        <v>#REF!</v>
      </c>
      <c r="AG38" s="378"/>
      <c r="AH38" s="367" t="str">
        <f>IF(AND(Riesgos!$K$10="Muy Baja",Riesgos!$O$10="Catastrófico"),CONCATENATE("R",Riesgos!$A$10),"")</f>
        <v/>
      </c>
      <c r="AI38" s="368"/>
      <c r="AJ38" s="368" t="str">
        <f>IF(AND(Riesgos!$K$16="Muy Baja",Riesgos!$O$16="Catastrófico"),CONCATENATE("R",Riesgos!$A$16),"")</f>
        <v/>
      </c>
      <c r="AK38" s="368"/>
      <c r="AL38" s="368" t="e">
        <f>IF(AND(Riesgos!#REF!="Muy Baja",Riesgos!#REF!="Catastrófico"),CONCATENATE("R",Riesgos!#REF!),"")</f>
        <v>#REF!</v>
      </c>
      <c r="AM38" s="369"/>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7"/>
      <c r="BY38" s="77"/>
      <c r="BZ38" s="77"/>
      <c r="CA38" s="77"/>
      <c r="CB38" s="77"/>
    </row>
    <row r="39" spans="1:80" x14ac:dyDescent="0.25">
      <c r="A39" s="77"/>
      <c r="B39" s="390"/>
      <c r="C39" s="390"/>
      <c r="D39" s="391"/>
      <c r="E39" s="383"/>
      <c r="F39" s="384"/>
      <c r="G39" s="384"/>
      <c r="H39" s="384"/>
      <c r="I39" s="385"/>
      <c r="J39" s="343"/>
      <c r="K39" s="344"/>
      <c r="L39" s="344"/>
      <c r="M39" s="344"/>
      <c r="N39" s="344"/>
      <c r="O39" s="345"/>
      <c r="P39" s="343"/>
      <c r="Q39" s="344"/>
      <c r="R39" s="344"/>
      <c r="S39" s="344"/>
      <c r="T39" s="344"/>
      <c r="U39" s="345"/>
      <c r="V39" s="352"/>
      <c r="W39" s="353"/>
      <c r="X39" s="353"/>
      <c r="Y39" s="353"/>
      <c r="Z39" s="353"/>
      <c r="AA39" s="354"/>
      <c r="AB39" s="370"/>
      <c r="AC39" s="371"/>
      <c r="AD39" s="371"/>
      <c r="AE39" s="371"/>
      <c r="AF39" s="371"/>
      <c r="AG39" s="372"/>
      <c r="AH39" s="361"/>
      <c r="AI39" s="362"/>
      <c r="AJ39" s="362"/>
      <c r="AK39" s="362"/>
      <c r="AL39" s="362"/>
      <c r="AM39" s="363"/>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row>
    <row r="40" spans="1:80" x14ac:dyDescent="0.25">
      <c r="A40" s="77"/>
      <c r="B40" s="390"/>
      <c r="C40" s="390"/>
      <c r="D40" s="391"/>
      <c r="E40" s="383"/>
      <c r="F40" s="384"/>
      <c r="G40" s="384"/>
      <c r="H40" s="384"/>
      <c r="I40" s="385"/>
      <c r="J40" s="343" t="str">
        <f>IF(AND(Riesgos!$K$22="Muy Baja",Riesgos!$O$22="Leve"),CONCATENATE("R",Riesgos!$A$22),"")</f>
        <v/>
      </c>
      <c r="K40" s="344"/>
      <c r="L40" s="344" t="str">
        <f>IF(AND(Riesgos!$K$28="Muy Baja",Riesgos!$O$28="Leve"),CONCATENATE("R",Riesgos!$A$28),"")</f>
        <v/>
      </c>
      <c r="M40" s="344"/>
      <c r="N40" s="344" t="str">
        <f>IF(AND(Riesgos!$K$34="Muy Baja",Riesgos!$O$34="Leve"),CONCATENATE("R",Riesgos!$A$34),"")</f>
        <v/>
      </c>
      <c r="O40" s="345"/>
      <c r="P40" s="343" t="str">
        <f>IF(AND(Riesgos!$K$22="Muy Baja",Riesgos!$O$22="Menor"),CONCATENATE("R",Riesgos!$A$22),"")</f>
        <v/>
      </c>
      <c r="Q40" s="344"/>
      <c r="R40" s="344" t="str">
        <f>IF(AND(Riesgos!$K$28="Muy Baja",Riesgos!$O$28="Menor"),CONCATENATE("R",Riesgos!$A$28),"")</f>
        <v/>
      </c>
      <c r="S40" s="344"/>
      <c r="T40" s="344" t="str">
        <f>IF(AND(Riesgos!$K$34="Muy Baja",Riesgos!$O$34="Menor"),CONCATENATE("R",Riesgos!$A$34),"")</f>
        <v/>
      </c>
      <c r="U40" s="345"/>
      <c r="V40" s="352" t="str">
        <f>IF(AND(Riesgos!$K$22="Muy Baja",Riesgos!$O$22="Moderado"),CONCATENATE("R",Riesgos!$A$22),"")</f>
        <v/>
      </c>
      <c r="W40" s="353"/>
      <c r="X40" s="353" t="str">
        <f>IF(AND(Riesgos!$K$28="Muy Baja",Riesgos!$O$28="Moderado"),CONCATENATE("R",Riesgos!$A$28),"")</f>
        <v/>
      </c>
      <c r="Y40" s="353"/>
      <c r="Z40" s="353" t="str">
        <f>IF(AND(Riesgos!$K$34="Muy Baja",Riesgos!$O$34="Moderado"),CONCATENATE("R",Riesgos!$A$34),"")</f>
        <v/>
      </c>
      <c r="AA40" s="354"/>
      <c r="AB40" s="370" t="str">
        <f>IF(AND(Riesgos!$K$22="Muy Baja",Riesgos!$O$22="Mayor"),CONCATENATE("R",Riesgos!$A$22),"")</f>
        <v/>
      </c>
      <c r="AC40" s="371"/>
      <c r="AD40" s="371" t="str">
        <f>IF(AND(Riesgos!$K$28="Muy Baja",Riesgos!$O$28="Mayor"),CONCATENATE("R",Riesgos!$A$28),"")</f>
        <v/>
      </c>
      <c r="AE40" s="371"/>
      <c r="AF40" s="371" t="str">
        <f>IF(AND(Riesgos!$K$34="Muy Baja",Riesgos!$O$34="Mayor"),CONCATENATE("R",Riesgos!$A$34),"")</f>
        <v/>
      </c>
      <c r="AG40" s="372"/>
      <c r="AH40" s="361" t="str">
        <f>IF(AND(Riesgos!$K$22="Muy Baja",Riesgos!$O$22="Catastrófico"),CONCATENATE("R",Riesgos!$A$22),"")</f>
        <v/>
      </c>
      <c r="AI40" s="362"/>
      <c r="AJ40" s="362" t="str">
        <f>IF(AND(Riesgos!$K$28="Muy Baja",Riesgos!$O$28="Catastrófico"),CONCATENATE("R",Riesgos!$A$28),"")</f>
        <v/>
      </c>
      <c r="AK40" s="362"/>
      <c r="AL40" s="362" t="str">
        <f>IF(AND(Riesgos!$K$34="Muy Baja",Riesgos!$O$34="Catastrófico"),CONCATENATE("R",Riesgos!$A$34),"")</f>
        <v/>
      </c>
      <c r="AM40" s="363"/>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77"/>
      <c r="BW40" s="77"/>
      <c r="BX40" s="77"/>
      <c r="BY40" s="77"/>
      <c r="BZ40" s="77"/>
      <c r="CA40" s="77"/>
      <c r="CB40" s="77"/>
    </row>
    <row r="41" spans="1:80" x14ac:dyDescent="0.25">
      <c r="A41" s="77"/>
      <c r="B41" s="390"/>
      <c r="C41" s="390"/>
      <c r="D41" s="391"/>
      <c r="E41" s="383"/>
      <c r="F41" s="384"/>
      <c r="G41" s="384"/>
      <c r="H41" s="384"/>
      <c r="I41" s="385"/>
      <c r="J41" s="343"/>
      <c r="K41" s="344"/>
      <c r="L41" s="344"/>
      <c r="M41" s="344"/>
      <c r="N41" s="344"/>
      <c r="O41" s="345"/>
      <c r="P41" s="343"/>
      <c r="Q41" s="344"/>
      <c r="R41" s="344"/>
      <c r="S41" s="344"/>
      <c r="T41" s="344"/>
      <c r="U41" s="345"/>
      <c r="V41" s="352"/>
      <c r="W41" s="353"/>
      <c r="X41" s="353"/>
      <c r="Y41" s="353"/>
      <c r="Z41" s="353"/>
      <c r="AA41" s="354"/>
      <c r="AB41" s="370"/>
      <c r="AC41" s="371"/>
      <c r="AD41" s="371"/>
      <c r="AE41" s="371"/>
      <c r="AF41" s="371"/>
      <c r="AG41" s="372"/>
      <c r="AH41" s="361"/>
      <c r="AI41" s="362"/>
      <c r="AJ41" s="362"/>
      <c r="AK41" s="362"/>
      <c r="AL41" s="362"/>
      <c r="AM41" s="363"/>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row>
    <row r="42" spans="1:80" x14ac:dyDescent="0.25">
      <c r="A42" s="77"/>
      <c r="B42" s="390"/>
      <c r="C42" s="390"/>
      <c r="D42" s="391"/>
      <c r="E42" s="383"/>
      <c r="F42" s="384"/>
      <c r="G42" s="384"/>
      <c r="H42" s="384"/>
      <c r="I42" s="385"/>
      <c r="J42" s="343" t="str">
        <f>IF(AND(Riesgos!$K$40="Muy Baja",Riesgos!$O$40="Leve"),CONCATENATE("R",Riesgos!$A$40),"")</f>
        <v/>
      </c>
      <c r="K42" s="344"/>
      <c r="L42" s="344" t="str">
        <f>IF(AND(Riesgos!$K$46="Muy Baja",Riesgos!$O$46="Leve"),CONCATENATE("R",Riesgos!$A$46),"")</f>
        <v/>
      </c>
      <c r="M42" s="344"/>
      <c r="N42" s="344" t="str">
        <f>IF(AND(Riesgos!$K$52="Muy Baja",Riesgos!$O$52="Leve"),CONCATENATE("R",Riesgos!$A$52),"")</f>
        <v/>
      </c>
      <c r="O42" s="345"/>
      <c r="P42" s="343" t="str">
        <f>IF(AND(Riesgos!$K$40="Muy Baja",Riesgos!$O$40="Menor"),CONCATENATE("R",Riesgos!$A$40),"")</f>
        <v/>
      </c>
      <c r="Q42" s="344"/>
      <c r="R42" s="344" t="str">
        <f>IF(AND(Riesgos!$K$46="Muy Baja",Riesgos!$O$46="Menor"),CONCATENATE("R",Riesgos!$A$46),"")</f>
        <v/>
      </c>
      <c r="S42" s="344"/>
      <c r="T42" s="344" t="str">
        <f>IF(AND(Riesgos!$K$52="Muy Baja",Riesgos!$O$52="Menor"),CONCATENATE("R",Riesgos!$A$52),"")</f>
        <v/>
      </c>
      <c r="U42" s="345"/>
      <c r="V42" s="352" t="str">
        <f>IF(AND(Riesgos!$K$40="Muy Baja",Riesgos!$O$40="Moderado"),CONCATENATE("R",Riesgos!$A$40),"")</f>
        <v/>
      </c>
      <c r="W42" s="353"/>
      <c r="X42" s="353" t="str">
        <f>IF(AND(Riesgos!$K$46="Muy Baja",Riesgos!$O$46="Moderado"),CONCATENATE("R",Riesgos!$A$46),"")</f>
        <v/>
      </c>
      <c r="Y42" s="353"/>
      <c r="Z42" s="353" t="str">
        <f>IF(AND(Riesgos!$K$52="Muy Baja",Riesgos!$O$52="Moderado"),CONCATENATE("R",Riesgos!$A$52),"")</f>
        <v/>
      </c>
      <c r="AA42" s="354"/>
      <c r="AB42" s="370" t="str">
        <f>IF(AND(Riesgos!$K$40="Muy Baja",Riesgos!$O$40="Mayor"),CONCATENATE("R",Riesgos!$A$40),"")</f>
        <v/>
      </c>
      <c r="AC42" s="371"/>
      <c r="AD42" s="371" t="str">
        <f>IF(AND(Riesgos!$K$46="Muy Baja",Riesgos!$O$46="Mayor"),CONCATENATE("R",Riesgos!$A$46),"")</f>
        <v/>
      </c>
      <c r="AE42" s="371"/>
      <c r="AF42" s="371" t="str">
        <f>IF(AND(Riesgos!$K$52="Muy Baja",Riesgos!$O$52="Mayor"),CONCATENATE("R",Riesgos!$A$52),"")</f>
        <v/>
      </c>
      <c r="AG42" s="372"/>
      <c r="AH42" s="361" t="str">
        <f>IF(AND(Riesgos!$K$40="Muy Baja",Riesgos!$O$40="Catastrófico"),CONCATENATE("R",Riesgos!$A$40),"")</f>
        <v/>
      </c>
      <c r="AI42" s="362"/>
      <c r="AJ42" s="362" t="str">
        <f>IF(AND(Riesgos!$K$46="Muy Baja",Riesgos!$O$46="Catastrófico"),CONCATENATE("R",Riesgos!$A$46),"")</f>
        <v/>
      </c>
      <c r="AK42" s="362"/>
      <c r="AL42" s="362" t="str">
        <f>IF(AND(Riesgos!$K$52="Muy Baja",Riesgos!$O$52="Catastrófico"),CONCATENATE("R",Riesgos!$A$52),"")</f>
        <v/>
      </c>
      <c r="AM42" s="363"/>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c r="BY42" s="77"/>
      <c r="BZ42" s="77"/>
      <c r="CA42" s="77"/>
      <c r="CB42" s="77"/>
    </row>
    <row r="43" spans="1:80" x14ac:dyDescent="0.25">
      <c r="A43" s="77"/>
      <c r="B43" s="390"/>
      <c r="C43" s="390"/>
      <c r="D43" s="391"/>
      <c r="E43" s="383"/>
      <c r="F43" s="384"/>
      <c r="G43" s="384"/>
      <c r="H43" s="384"/>
      <c r="I43" s="385"/>
      <c r="J43" s="343"/>
      <c r="K43" s="344"/>
      <c r="L43" s="344"/>
      <c r="M43" s="344"/>
      <c r="N43" s="344"/>
      <c r="O43" s="345"/>
      <c r="P43" s="343"/>
      <c r="Q43" s="344"/>
      <c r="R43" s="344"/>
      <c r="S43" s="344"/>
      <c r="T43" s="344"/>
      <c r="U43" s="345"/>
      <c r="V43" s="352"/>
      <c r="W43" s="353"/>
      <c r="X43" s="353"/>
      <c r="Y43" s="353"/>
      <c r="Z43" s="353"/>
      <c r="AA43" s="354"/>
      <c r="AB43" s="370"/>
      <c r="AC43" s="371"/>
      <c r="AD43" s="371"/>
      <c r="AE43" s="371"/>
      <c r="AF43" s="371"/>
      <c r="AG43" s="372"/>
      <c r="AH43" s="361"/>
      <c r="AI43" s="362"/>
      <c r="AJ43" s="362"/>
      <c r="AK43" s="362"/>
      <c r="AL43" s="362"/>
      <c r="AM43" s="363"/>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7"/>
      <c r="BU43" s="77"/>
      <c r="BV43" s="77"/>
      <c r="BW43" s="77"/>
      <c r="BX43" s="77"/>
      <c r="BY43" s="77"/>
      <c r="BZ43" s="77"/>
      <c r="CA43" s="77"/>
      <c r="CB43" s="77"/>
    </row>
    <row r="44" spans="1:80" x14ac:dyDescent="0.25">
      <c r="A44" s="77"/>
      <c r="B44" s="390"/>
      <c r="C44" s="390"/>
      <c r="D44" s="391"/>
      <c r="E44" s="383"/>
      <c r="F44" s="384"/>
      <c r="G44" s="384"/>
      <c r="H44" s="384"/>
      <c r="I44" s="385"/>
      <c r="J44" s="343" t="e">
        <f>IF(AND(Riesgos!#REF!="Muy Baja",Riesgos!#REF!="Leve"),CONCATENATE("R",Riesgos!#REF!),"")</f>
        <v>#REF!</v>
      </c>
      <c r="K44" s="344"/>
      <c r="L44" s="344" t="str">
        <f>IF(AND(Riesgos!$K$94="Muy Baja",Riesgos!$O$94="Leve"),CONCATENATE("R",Riesgos!$A$94),"")</f>
        <v/>
      </c>
      <c r="M44" s="344"/>
      <c r="N44" s="344" t="str">
        <f>IF(AND(Riesgos!$K$100="Muy Baja",Riesgos!$O$100="Leve"),CONCATENATE("R",Riesgos!$A$100),"")</f>
        <v/>
      </c>
      <c r="O44" s="345"/>
      <c r="P44" s="343" t="e">
        <f>IF(AND(Riesgos!#REF!="Muy Baja",Riesgos!#REF!="Menor"),CONCATENATE("R",Riesgos!#REF!),"")</f>
        <v>#REF!</v>
      </c>
      <c r="Q44" s="344"/>
      <c r="R44" s="344" t="str">
        <f>IF(AND(Riesgos!$K$94="Muy Baja",Riesgos!$O$94="Menor"),CONCATENATE("R",Riesgos!$A$94),"")</f>
        <v/>
      </c>
      <c r="S44" s="344"/>
      <c r="T44" s="344" t="str">
        <f>IF(AND(Riesgos!$K$100="Muy Baja",Riesgos!$O$100="Menor"),CONCATENATE("R",Riesgos!$A$100),"")</f>
        <v/>
      </c>
      <c r="U44" s="345"/>
      <c r="V44" s="352" t="e">
        <f>IF(AND(Riesgos!#REF!="Muy Baja",Riesgos!#REF!="Moderado"),CONCATENATE("R",Riesgos!#REF!),"")</f>
        <v>#REF!</v>
      </c>
      <c r="W44" s="353"/>
      <c r="X44" s="353" t="str">
        <f>IF(AND(Riesgos!$K$94="Muy Baja",Riesgos!$O$94="Moderado"),CONCATENATE("R",Riesgos!$A$94),"")</f>
        <v/>
      </c>
      <c r="Y44" s="353"/>
      <c r="Z44" s="353" t="str">
        <f>IF(AND(Riesgos!$K$100="Muy Baja",Riesgos!$O$100="Moderado"),CONCATENATE("R",Riesgos!$A$100),"")</f>
        <v/>
      </c>
      <c r="AA44" s="354"/>
      <c r="AB44" s="370" t="e">
        <f>IF(AND(Riesgos!#REF!="Muy Baja",Riesgos!#REF!="Mayor"),CONCATENATE("R",Riesgos!#REF!),"")</f>
        <v>#REF!</v>
      </c>
      <c r="AC44" s="371"/>
      <c r="AD44" s="371" t="str">
        <f>IF(AND(Riesgos!$K$94="Muy Baja",Riesgos!$O$94="Mayor"),CONCATENATE("R",Riesgos!$A$94),"")</f>
        <v/>
      </c>
      <c r="AE44" s="371"/>
      <c r="AF44" s="371" t="str">
        <f>IF(AND(Riesgos!$K$100="Muy Baja",Riesgos!$O$100="Mayor"),CONCATENATE("R",Riesgos!$A$100),"")</f>
        <v/>
      </c>
      <c r="AG44" s="372"/>
      <c r="AH44" s="361" t="e">
        <f>IF(AND(Riesgos!#REF!="Muy Baja",Riesgos!#REF!="Catastrófico"),CONCATENATE("R",Riesgos!#REF!),"")</f>
        <v>#REF!</v>
      </c>
      <c r="AI44" s="362"/>
      <c r="AJ44" s="362" t="str">
        <f>IF(AND(Riesgos!$K$94="Muy Baja",Riesgos!$O$94="Catastrófico"),CONCATENATE("R",Riesgos!$A$94),"")</f>
        <v/>
      </c>
      <c r="AK44" s="362"/>
      <c r="AL44" s="362" t="str">
        <f>IF(AND(Riesgos!$K$100="Muy Baja",Riesgos!$O$100="Catastrófico"),CONCATENATE("R",Riesgos!$A$100),"")</f>
        <v/>
      </c>
      <c r="AM44" s="363"/>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7"/>
      <c r="BR44" s="77"/>
      <c r="BS44" s="77"/>
      <c r="BT44" s="77"/>
      <c r="BU44" s="77"/>
      <c r="BV44" s="77"/>
      <c r="BW44" s="77"/>
      <c r="BX44" s="77"/>
      <c r="BY44" s="77"/>
      <c r="BZ44" s="77"/>
      <c r="CA44" s="77"/>
      <c r="CB44" s="77"/>
    </row>
    <row r="45" spans="1:80" ht="15.75" thickBot="1" x14ac:dyDescent="0.3">
      <c r="A45" s="77"/>
      <c r="B45" s="390"/>
      <c r="C45" s="390"/>
      <c r="D45" s="391"/>
      <c r="E45" s="386"/>
      <c r="F45" s="387"/>
      <c r="G45" s="387"/>
      <c r="H45" s="387"/>
      <c r="I45" s="388"/>
      <c r="J45" s="346"/>
      <c r="K45" s="347"/>
      <c r="L45" s="347"/>
      <c r="M45" s="347"/>
      <c r="N45" s="347"/>
      <c r="O45" s="348"/>
      <c r="P45" s="346"/>
      <c r="Q45" s="347"/>
      <c r="R45" s="347"/>
      <c r="S45" s="347"/>
      <c r="T45" s="347"/>
      <c r="U45" s="348"/>
      <c r="V45" s="355"/>
      <c r="W45" s="356"/>
      <c r="X45" s="356"/>
      <c r="Y45" s="356"/>
      <c r="Z45" s="356"/>
      <c r="AA45" s="357"/>
      <c r="AB45" s="373"/>
      <c r="AC45" s="374"/>
      <c r="AD45" s="374"/>
      <c r="AE45" s="374"/>
      <c r="AF45" s="374"/>
      <c r="AG45" s="375"/>
      <c r="AH45" s="364"/>
      <c r="AI45" s="365"/>
      <c r="AJ45" s="365"/>
      <c r="AK45" s="365"/>
      <c r="AL45" s="365"/>
      <c r="AM45" s="366"/>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7"/>
      <c r="BR45" s="77"/>
      <c r="BS45" s="77"/>
      <c r="BT45" s="77"/>
      <c r="BU45" s="77"/>
      <c r="BV45" s="77"/>
      <c r="BW45" s="77"/>
      <c r="BX45" s="77"/>
      <c r="BY45" s="77"/>
      <c r="BZ45" s="77"/>
      <c r="CA45" s="77"/>
      <c r="CB45" s="77"/>
    </row>
    <row r="46" spans="1:80" x14ac:dyDescent="0.25">
      <c r="A46" s="77"/>
      <c r="B46" s="77"/>
      <c r="C46" s="77"/>
      <c r="D46" s="77"/>
      <c r="E46" s="77"/>
      <c r="F46" s="77"/>
      <c r="G46" s="77"/>
      <c r="H46" s="77"/>
      <c r="I46" s="77"/>
      <c r="J46" s="380" t="s">
        <v>109</v>
      </c>
      <c r="K46" s="381"/>
      <c r="L46" s="381"/>
      <c r="M46" s="381"/>
      <c r="N46" s="381"/>
      <c r="O46" s="382"/>
      <c r="P46" s="380" t="s">
        <v>108</v>
      </c>
      <c r="Q46" s="381"/>
      <c r="R46" s="381"/>
      <c r="S46" s="381"/>
      <c r="T46" s="381"/>
      <c r="U46" s="382"/>
      <c r="V46" s="380" t="s">
        <v>107</v>
      </c>
      <c r="W46" s="381"/>
      <c r="X46" s="381"/>
      <c r="Y46" s="381"/>
      <c r="Z46" s="381"/>
      <c r="AA46" s="382"/>
      <c r="AB46" s="380" t="s">
        <v>106</v>
      </c>
      <c r="AC46" s="389"/>
      <c r="AD46" s="381"/>
      <c r="AE46" s="381"/>
      <c r="AF46" s="381"/>
      <c r="AG46" s="382"/>
      <c r="AH46" s="380" t="s">
        <v>105</v>
      </c>
      <c r="AI46" s="381"/>
      <c r="AJ46" s="381"/>
      <c r="AK46" s="381"/>
      <c r="AL46" s="381"/>
      <c r="AM46" s="382"/>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77"/>
      <c r="BS46" s="77"/>
      <c r="BT46" s="77"/>
      <c r="BU46" s="77"/>
      <c r="BV46" s="77"/>
      <c r="BW46" s="77"/>
      <c r="BX46" s="77"/>
      <c r="BY46" s="77"/>
      <c r="BZ46" s="77"/>
      <c r="CA46" s="77"/>
      <c r="CB46" s="77"/>
    </row>
    <row r="47" spans="1:80" x14ac:dyDescent="0.25">
      <c r="A47" s="77"/>
      <c r="B47" s="77"/>
      <c r="C47" s="77"/>
      <c r="D47" s="77"/>
      <c r="E47" s="77"/>
      <c r="F47" s="77"/>
      <c r="G47" s="77"/>
      <c r="H47" s="77"/>
      <c r="I47" s="77"/>
      <c r="J47" s="383"/>
      <c r="K47" s="384"/>
      <c r="L47" s="384"/>
      <c r="M47" s="384"/>
      <c r="N47" s="384"/>
      <c r="O47" s="385"/>
      <c r="P47" s="383"/>
      <c r="Q47" s="384"/>
      <c r="R47" s="384"/>
      <c r="S47" s="384"/>
      <c r="T47" s="384"/>
      <c r="U47" s="385"/>
      <c r="V47" s="383"/>
      <c r="W47" s="384"/>
      <c r="X47" s="384"/>
      <c r="Y47" s="384"/>
      <c r="Z47" s="384"/>
      <c r="AA47" s="385"/>
      <c r="AB47" s="383"/>
      <c r="AC47" s="384"/>
      <c r="AD47" s="384"/>
      <c r="AE47" s="384"/>
      <c r="AF47" s="384"/>
      <c r="AG47" s="385"/>
      <c r="AH47" s="383"/>
      <c r="AI47" s="384"/>
      <c r="AJ47" s="384"/>
      <c r="AK47" s="384"/>
      <c r="AL47" s="384"/>
      <c r="AM47" s="385"/>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77"/>
      <c r="BS47" s="77"/>
      <c r="BT47" s="77"/>
      <c r="BU47" s="77"/>
      <c r="BV47" s="77"/>
      <c r="BW47" s="77"/>
      <c r="BX47" s="77"/>
      <c r="BY47" s="77"/>
      <c r="BZ47" s="77"/>
      <c r="CA47" s="77"/>
      <c r="CB47" s="77"/>
    </row>
    <row r="48" spans="1:80" x14ac:dyDescent="0.25">
      <c r="A48" s="77"/>
      <c r="B48" s="77"/>
      <c r="C48" s="77"/>
      <c r="D48" s="77"/>
      <c r="E48" s="77"/>
      <c r="F48" s="77"/>
      <c r="G48" s="77"/>
      <c r="H48" s="77"/>
      <c r="I48" s="77"/>
      <c r="J48" s="383"/>
      <c r="K48" s="384"/>
      <c r="L48" s="384"/>
      <c r="M48" s="384"/>
      <c r="N48" s="384"/>
      <c r="O48" s="385"/>
      <c r="P48" s="383"/>
      <c r="Q48" s="384"/>
      <c r="R48" s="384"/>
      <c r="S48" s="384"/>
      <c r="T48" s="384"/>
      <c r="U48" s="385"/>
      <c r="V48" s="383"/>
      <c r="W48" s="384"/>
      <c r="X48" s="384"/>
      <c r="Y48" s="384"/>
      <c r="Z48" s="384"/>
      <c r="AA48" s="385"/>
      <c r="AB48" s="383"/>
      <c r="AC48" s="384"/>
      <c r="AD48" s="384"/>
      <c r="AE48" s="384"/>
      <c r="AF48" s="384"/>
      <c r="AG48" s="385"/>
      <c r="AH48" s="383"/>
      <c r="AI48" s="384"/>
      <c r="AJ48" s="384"/>
      <c r="AK48" s="384"/>
      <c r="AL48" s="384"/>
      <c r="AM48" s="385"/>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77"/>
      <c r="BT48" s="77"/>
      <c r="BU48" s="77"/>
      <c r="BV48" s="77"/>
      <c r="BW48" s="77"/>
      <c r="BX48" s="77"/>
      <c r="BY48" s="77"/>
      <c r="BZ48" s="77"/>
      <c r="CA48" s="77"/>
      <c r="CB48" s="77"/>
    </row>
    <row r="49" spans="1:80" x14ac:dyDescent="0.25">
      <c r="A49" s="77"/>
      <c r="B49" s="77"/>
      <c r="C49" s="77"/>
      <c r="D49" s="77"/>
      <c r="E49" s="77"/>
      <c r="F49" s="77"/>
      <c r="G49" s="77"/>
      <c r="H49" s="77"/>
      <c r="I49" s="77"/>
      <c r="J49" s="383"/>
      <c r="K49" s="384"/>
      <c r="L49" s="384"/>
      <c r="M49" s="384"/>
      <c r="N49" s="384"/>
      <c r="O49" s="385"/>
      <c r="P49" s="383"/>
      <c r="Q49" s="384"/>
      <c r="R49" s="384"/>
      <c r="S49" s="384"/>
      <c r="T49" s="384"/>
      <c r="U49" s="385"/>
      <c r="V49" s="383"/>
      <c r="W49" s="384"/>
      <c r="X49" s="384"/>
      <c r="Y49" s="384"/>
      <c r="Z49" s="384"/>
      <c r="AA49" s="385"/>
      <c r="AB49" s="383"/>
      <c r="AC49" s="384"/>
      <c r="AD49" s="384"/>
      <c r="AE49" s="384"/>
      <c r="AF49" s="384"/>
      <c r="AG49" s="385"/>
      <c r="AH49" s="383"/>
      <c r="AI49" s="384"/>
      <c r="AJ49" s="384"/>
      <c r="AK49" s="384"/>
      <c r="AL49" s="384"/>
      <c r="AM49" s="385"/>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row>
    <row r="50" spans="1:80" x14ac:dyDescent="0.25">
      <c r="A50" s="77"/>
      <c r="B50" s="77"/>
      <c r="C50" s="77"/>
      <c r="D50" s="77"/>
      <c r="E50" s="77"/>
      <c r="F50" s="77"/>
      <c r="G50" s="77"/>
      <c r="H50" s="77"/>
      <c r="I50" s="77"/>
      <c r="J50" s="383"/>
      <c r="K50" s="384"/>
      <c r="L50" s="384"/>
      <c r="M50" s="384"/>
      <c r="N50" s="384"/>
      <c r="O50" s="385"/>
      <c r="P50" s="383"/>
      <c r="Q50" s="384"/>
      <c r="R50" s="384"/>
      <c r="S50" s="384"/>
      <c r="T50" s="384"/>
      <c r="U50" s="385"/>
      <c r="V50" s="383"/>
      <c r="W50" s="384"/>
      <c r="X50" s="384"/>
      <c r="Y50" s="384"/>
      <c r="Z50" s="384"/>
      <c r="AA50" s="385"/>
      <c r="AB50" s="383"/>
      <c r="AC50" s="384"/>
      <c r="AD50" s="384"/>
      <c r="AE50" s="384"/>
      <c r="AF50" s="384"/>
      <c r="AG50" s="385"/>
      <c r="AH50" s="383"/>
      <c r="AI50" s="384"/>
      <c r="AJ50" s="384"/>
      <c r="AK50" s="384"/>
      <c r="AL50" s="384"/>
      <c r="AM50" s="385"/>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row>
    <row r="51" spans="1:80" ht="15.75" thickBot="1" x14ac:dyDescent="0.3">
      <c r="A51" s="77"/>
      <c r="B51" s="77"/>
      <c r="C51" s="77"/>
      <c r="D51" s="77"/>
      <c r="E51" s="77"/>
      <c r="F51" s="77"/>
      <c r="G51" s="77"/>
      <c r="H51" s="77"/>
      <c r="I51" s="77"/>
      <c r="J51" s="386"/>
      <c r="K51" s="387"/>
      <c r="L51" s="387"/>
      <c r="M51" s="387"/>
      <c r="N51" s="387"/>
      <c r="O51" s="388"/>
      <c r="P51" s="386"/>
      <c r="Q51" s="387"/>
      <c r="R51" s="387"/>
      <c r="S51" s="387"/>
      <c r="T51" s="387"/>
      <c r="U51" s="388"/>
      <c r="V51" s="386"/>
      <c r="W51" s="387"/>
      <c r="X51" s="387"/>
      <c r="Y51" s="387"/>
      <c r="Z51" s="387"/>
      <c r="AA51" s="388"/>
      <c r="AB51" s="386"/>
      <c r="AC51" s="387"/>
      <c r="AD51" s="387"/>
      <c r="AE51" s="387"/>
      <c r="AF51" s="387"/>
      <c r="AG51" s="388"/>
      <c r="AH51" s="386"/>
      <c r="AI51" s="387"/>
      <c r="AJ51" s="387"/>
      <c r="AK51" s="387"/>
      <c r="AL51" s="387"/>
      <c r="AM51" s="388"/>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7"/>
      <c r="BW51" s="77"/>
      <c r="BX51" s="77"/>
      <c r="BY51" s="77"/>
      <c r="BZ51" s="77"/>
      <c r="CA51" s="77"/>
      <c r="CB51" s="77"/>
    </row>
    <row r="52" spans="1:80" x14ac:dyDescent="0.25">
      <c r="A52" s="77"/>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7"/>
      <c r="BU52" s="77"/>
      <c r="BV52" s="77"/>
      <c r="BW52" s="77"/>
      <c r="BX52" s="77"/>
      <c r="BY52" s="77"/>
      <c r="BZ52" s="77"/>
      <c r="CA52" s="77"/>
      <c r="CB52" s="77"/>
    </row>
    <row r="53" spans="1:80" ht="15" customHeight="1" x14ac:dyDescent="0.25">
      <c r="A53" s="77"/>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77"/>
      <c r="AV53" s="77"/>
      <c r="AW53" s="77"/>
      <c r="AX53" s="77"/>
      <c r="AY53" s="77"/>
      <c r="AZ53" s="77"/>
      <c r="BA53" s="77"/>
      <c r="BB53" s="77"/>
      <c r="BC53" s="77"/>
      <c r="BD53" s="77"/>
      <c r="BE53" s="77"/>
      <c r="BF53" s="77"/>
      <c r="BG53" s="77"/>
      <c r="BH53" s="77"/>
      <c r="BI53" s="77"/>
      <c r="BJ53" s="77"/>
      <c r="BK53" s="77"/>
      <c r="BL53" s="77"/>
      <c r="BM53" s="77"/>
      <c r="BN53" s="77"/>
      <c r="BO53" s="77"/>
      <c r="BP53" s="77"/>
      <c r="BQ53" s="77"/>
      <c r="BR53" s="77"/>
      <c r="BS53" s="77"/>
      <c r="BT53" s="77"/>
      <c r="BU53" s="77"/>
      <c r="BV53" s="77"/>
      <c r="BW53" s="77"/>
      <c r="BX53" s="77"/>
      <c r="BY53" s="77"/>
      <c r="BZ53" s="77"/>
      <c r="CA53" s="77"/>
      <c r="CB53" s="77"/>
    </row>
    <row r="54" spans="1:80" ht="15" customHeight="1" x14ac:dyDescent="0.25">
      <c r="A54" s="77"/>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7"/>
      <c r="BS54" s="77"/>
      <c r="BT54" s="77"/>
      <c r="BU54" s="77"/>
      <c r="BV54" s="77"/>
      <c r="BW54" s="77"/>
      <c r="BX54" s="77"/>
      <c r="BY54" s="77"/>
      <c r="BZ54" s="77"/>
      <c r="CA54" s="77"/>
      <c r="CB54" s="77"/>
    </row>
    <row r="55" spans="1:80" x14ac:dyDescent="0.25">
      <c r="A55" s="77"/>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c r="BZ55" s="77"/>
      <c r="CA55" s="77"/>
      <c r="CB55" s="77"/>
    </row>
    <row r="56" spans="1:80" x14ac:dyDescent="0.25">
      <c r="A56" s="77"/>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7"/>
      <c r="BR56" s="77"/>
      <c r="BS56" s="77"/>
      <c r="BT56" s="77"/>
      <c r="BU56" s="77"/>
      <c r="BV56" s="77"/>
      <c r="BW56" s="77"/>
      <c r="BX56" s="77"/>
      <c r="BY56" s="77"/>
      <c r="BZ56" s="77"/>
      <c r="CA56" s="77"/>
      <c r="CB56" s="77"/>
    </row>
    <row r="57" spans="1:80" x14ac:dyDescent="0.25">
      <c r="A57" s="77"/>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c r="BZ57" s="77"/>
      <c r="CA57" s="77"/>
      <c r="CB57" s="77"/>
    </row>
    <row r="58" spans="1:80" x14ac:dyDescent="0.25">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7"/>
      <c r="BR58" s="77"/>
      <c r="BS58" s="77"/>
      <c r="BT58" s="77"/>
      <c r="BU58" s="77"/>
      <c r="BV58" s="77"/>
      <c r="BW58" s="77"/>
      <c r="BX58" s="77"/>
      <c r="BY58" s="77"/>
      <c r="BZ58" s="77"/>
      <c r="CA58" s="77"/>
      <c r="CB58" s="77"/>
    </row>
    <row r="59" spans="1:80" x14ac:dyDescent="0.25">
      <c r="A59" s="77"/>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7"/>
      <c r="BR59" s="77"/>
      <c r="BS59" s="77"/>
      <c r="BT59" s="77"/>
      <c r="BU59" s="77"/>
      <c r="BV59" s="77"/>
      <c r="BW59" s="77"/>
      <c r="BX59" s="77"/>
      <c r="BY59" s="77"/>
      <c r="BZ59" s="77"/>
      <c r="CA59" s="77"/>
      <c r="CB59" s="77"/>
    </row>
    <row r="60" spans="1:80" x14ac:dyDescent="0.25">
      <c r="A60" s="77"/>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c r="BR60" s="77"/>
      <c r="BS60" s="77"/>
      <c r="BT60" s="77"/>
      <c r="BU60" s="77"/>
      <c r="BV60" s="77"/>
      <c r="BW60" s="77"/>
      <c r="BX60" s="77"/>
      <c r="BY60" s="77"/>
      <c r="BZ60" s="77"/>
      <c r="CA60" s="77"/>
      <c r="CB60" s="77"/>
    </row>
    <row r="61" spans="1:80" x14ac:dyDescent="0.25">
      <c r="A61" s="77"/>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7"/>
      <c r="BS61" s="77"/>
      <c r="BT61" s="77"/>
      <c r="BU61" s="77"/>
      <c r="BV61" s="77"/>
      <c r="BW61" s="77"/>
      <c r="BX61" s="77"/>
      <c r="BY61" s="77"/>
      <c r="BZ61" s="77"/>
      <c r="CA61" s="77"/>
      <c r="CB61" s="77"/>
    </row>
    <row r="62" spans="1:80" x14ac:dyDescent="0.25">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c r="BI62" s="77"/>
      <c r="BJ62" s="77"/>
      <c r="BK62" s="77"/>
      <c r="BL62" s="77"/>
      <c r="BM62" s="77"/>
      <c r="BN62" s="77"/>
      <c r="BO62" s="77"/>
      <c r="BP62" s="77"/>
      <c r="BQ62" s="77"/>
      <c r="BR62" s="77"/>
      <c r="BS62" s="77"/>
      <c r="BT62" s="77"/>
      <c r="BU62" s="77"/>
      <c r="BV62" s="77"/>
      <c r="BW62" s="77"/>
      <c r="BX62" s="77"/>
      <c r="BY62" s="77"/>
      <c r="BZ62" s="77"/>
      <c r="CA62" s="77"/>
      <c r="CB62" s="77"/>
    </row>
    <row r="63" spans="1:80" x14ac:dyDescent="0.25">
      <c r="A63" s="77"/>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77"/>
      <c r="BF63" s="77"/>
      <c r="BG63" s="77"/>
      <c r="BH63" s="77"/>
      <c r="BI63" s="77"/>
      <c r="BJ63" s="77"/>
      <c r="BK63" s="77"/>
      <c r="BL63" s="77"/>
      <c r="BM63" s="77"/>
      <c r="BN63" s="77"/>
      <c r="BO63" s="77"/>
      <c r="BP63" s="77"/>
      <c r="BQ63" s="77"/>
      <c r="BR63" s="77"/>
      <c r="BS63" s="77"/>
      <c r="BT63" s="77"/>
      <c r="BU63" s="77"/>
      <c r="BV63" s="77"/>
      <c r="BW63" s="77"/>
      <c r="BX63" s="77"/>
      <c r="BY63" s="77"/>
      <c r="BZ63" s="77"/>
      <c r="CA63" s="77"/>
      <c r="CB63" s="77"/>
    </row>
    <row r="64" spans="1:80" x14ac:dyDescent="0.25">
      <c r="A64" s="77"/>
      <c r="B64" s="77"/>
      <c r="C64" s="77"/>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c r="BA64" s="77"/>
      <c r="BB64" s="77"/>
      <c r="BC64" s="77"/>
      <c r="BD64" s="77"/>
      <c r="BE64" s="77"/>
      <c r="BF64" s="77"/>
      <c r="BG64" s="77"/>
      <c r="BH64" s="77"/>
      <c r="BI64" s="77"/>
      <c r="BJ64" s="77"/>
      <c r="BK64" s="77"/>
      <c r="BL64" s="77"/>
      <c r="BM64" s="77"/>
      <c r="BN64" s="77"/>
      <c r="BO64" s="77"/>
      <c r="BP64" s="77"/>
      <c r="BQ64" s="77"/>
      <c r="BR64" s="77"/>
      <c r="BS64" s="77"/>
      <c r="BT64" s="77"/>
      <c r="BU64" s="77"/>
      <c r="BV64" s="77"/>
      <c r="BW64" s="77"/>
      <c r="BX64" s="77"/>
      <c r="BY64" s="77"/>
      <c r="BZ64" s="77"/>
      <c r="CA64" s="77"/>
      <c r="CB64" s="77"/>
    </row>
    <row r="65" spans="1:80" x14ac:dyDescent="0.25">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c r="BI65" s="77"/>
      <c r="BJ65" s="77"/>
      <c r="BK65" s="77"/>
      <c r="BL65" s="77"/>
      <c r="BM65" s="77"/>
      <c r="BN65" s="77"/>
      <c r="BO65" s="77"/>
      <c r="BP65" s="77"/>
      <c r="BQ65" s="77"/>
      <c r="BR65" s="77"/>
      <c r="BS65" s="77"/>
      <c r="BT65" s="77"/>
      <c r="BU65" s="77"/>
      <c r="BV65" s="77"/>
      <c r="BW65" s="77"/>
      <c r="BX65" s="77"/>
      <c r="BY65" s="77"/>
      <c r="BZ65" s="77"/>
      <c r="CA65" s="77"/>
      <c r="CB65" s="77"/>
    </row>
    <row r="66" spans="1:80" x14ac:dyDescent="0.25">
      <c r="A66" s="77"/>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7"/>
      <c r="BP66" s="77"/>
      <c r="BQ66" s="77"/>
      <c r="BR66" s="77"/>
      <c r="BS66" s="77"/>
      <c r="BT66" s="77"/>
      <c r="BU66" s="77"/>
      <c r="BV66" s="77"/>
      <c r="BW66" s="77"/>
      <c r="BX66" s="77"/>
      <c r="BY66" s="77"/>
      <c r="BZ66" s="77"/>
      <c r="CA66" s="77"/>
      <c r="CB66" s="77"/>
    </row>
    <row r="67" spans="1:80" x14ac:dyDescent="0.25">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c r="BK67" s="77"/>
      <c r="BL67" s="77"/>
      <c r="BM67" s="77"/>
      <c r="BN67" s="77"/>
      <c r="BO67" s="77"/>
      <c r="BP67" s="77"/>
      <c r="BQ67" s="77"/>
      <c r="BR67" s="77"/>
      <c r="BS67" s="77"/>
      <c r="BT67" s="77"/>
      <c r="BU67" s="77"/>
      <c r="BV67" s="77"/>
      <c r="BW67" s="77"/>
      <c r="BX67" s="77"/>
      <c r="BY67" s="77"/>
      <c r="BZ67" s="77"/>
      <c r="CA67" s="77"/>
      <c r="CB67" s="77"/>
    </row>
    <row r="68" spans="1:80" x14ac:dyDescent="0.25">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J68" s="77"/>
      <c r="BK68" s="77"/>
      <c r="BL68" s="77"/>
      <c r="BM68" s="77"/>
      <c r="BN68" s="77"/>
      <c r="BO68" s="77"/>
      <c r="BP68" s="77"/>
      <c r="BQ68" s="77"/>
      <c r="BR68" s="77"/>
      <c r="BS68" s="77"/>
      <c r="BT68" s="77"/>
      <c r="BU68" s="77"/>
      <c r="BV68" s="77"/>
      <c r="BW68" s="77"/>
      <c r="BX68" s="77"/>
      <c r="BY68" s="77"/>
      <c r="BZ68" s="77"/>
      <c r="CA68" s="77"/>
      <c r="CB68" s="77"/>
    </row>
    <row r="69" spans="1:80" x14ac:dyDescent="0.25">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77"/>
      <c r="BF69" s="77"/>
      <c r="BG69" s="77"/>
      <c r="BH69" s="77"/>
      <c r="BI69" s="77"/>
      <c r="BJ69" s="77"/>
      <c r="BK69" s="77"/>
      <c r="BL69" s="77"/>
      <c r="BM69" s="77"/>
      <c r="BN69" s="77"/>
      <c r="BO69" s="77"/>
      <c r="BP69" s="77"/>
      <c r="BQ69" s="77"/>
      <c r="BR69" s="77"/>
      <c r="BS69" s="77"/>
      <c r="BT69" s="77"/>
      <c r="BU69" s="77"/>
      <c r="BV69" s="77"/>
      <c r="BW69" s="77"/>
      <c r="BX69" s="77"/>
      <c r="BY69" s="77"/>
      <c r="BZ69" s="77"/>
      <c r="CA69" s="77"/>
      <c r="CB69" s="77"/>
    </row>
    <row r="70" spans="1:80" x14ac:dyDescent="0.25">
      <c r="A70" s="77"/>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7"/>
      <c r="BR70" s="77"/>
      <c r="BS70" s="77"/>
      <c r="BT70" s="77"/>
      <c r="BU70" s="77"/>
      <c r="BV70" s="77"/>
      <c r="BW70" s="77"/>
      <c r="BX70" s="77"/>
      <c r="BY70" s="77"/>
      <c r="BZ70" s="77"/>
      <c r="CA70" s="77"/>
      <c r="CB70" s="77"/>
    </row>
    <row r="71" spans="1:80" x14ac:dyDescent="0.25">
      <c r="A71" s="77"/>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77"/>
      <c r="AW71" s="77"/>
      <c r="AX71" s="77"/>
      <c r="AY71" s="77"/>
      <c r="AZ71" s="77"/>
      <c r="BA71" s="77"/>
      <c r="BB71" s="77"/>
      <c r="BC71" s="77"/>
      <c r="BD71" s="77"/>
      <c r="BE71" s="77"/>
      <c r="BF71" s="77"/>
      <c r="BG71" s="77"/>
      <c r="BH71" s="77"/>
      <c r="BI71" s="77"/>
      <c r="BJ71" s="77"/>
      <c r="BK71" s="77"/>
      <c r="BL71" s="77"/>
      <c r="BM71" s="77"/>
      <c r="BN71" s="77"/>
      <c r="BO71" s="77"/>
      <c r="BP71" s="77"/>
      <c r="BQ71" s="77"/>
      <c r="BR71" s="77"/>
      <c r="BS71" s="77"/>
      <c r="BT71" s="77"/>
      <c r="BU71" s="77"/>
      <c r="BV71" s="77"/>
      <c r="BW71" s="77"/>
      <c r="BX71" s="77"/>
      <c r="BY71" s="77"/>
      <c r="BZ71" s="77"/>
      <c r="CA71" s="77"/>
      <c r="CB71" s="77"/>
    </row>
    <row r="72" spans="1:80" x14ac:dyDescent="0.25">
      <c r="A72" s="77"/>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row>
    <row r="73" spans="1:80" x14ac:dyDescent="0.25">
      <c r="A73" s="77"/>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c r="BI73" s="77"/>
      <c r="BJ73" s="77"/>
      <c r="BK73" s="77"/>
      <c r="BL73" s="77"/>
      <c r="BM73" s="77"/>
      <c r="BN73" s="77"/>
      <c r="BO73" s="77"/>
      <c r="BP73" s="77"/>
      <c r="BQ73" s="77"/>
      <c r="BR73" s="77"/>
      <c r="BS73" s="77"/>
      <c r="BT73" s="77"/>
      <c r="BU73" s="77"/>
      <c r="BV73" s="77"/>
      <c r="BW73" s="77"/>
      <c r="BX73" s="77"/>
      <c r="BY73" s="77"/>
      <c r="BZ73" s="77"/>
      <c r="CA73" s="77"/>
      <c r="CB73" s="77"/>
    </row>
    <row r="74" spans="1:80" x14ac:dyDescent="0.25">
      <c r="A74" s="77"/>
      <c r="B74" s="77"/>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row>
    <row r="75" spans="1:80" x14ac:dyDescent="0.25">
      <c r="A75" s="77"/>
      <c r="B75" s="77"/>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row>
    <row r="76" spans="1:80" x14ac:dyDescent="0.25">
      <c r="A76" s="77"/>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row>
    <row r="77" spans="1:80" x14ac:dyDescent="0.25">
      <c r="A77" s="77"/>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row>
    <row r="78" spans="1:80" x14ac:dyDescent="0.25">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77"/>
      <c r="CB78" s="77"/>
    </row>
    <row r="79" spans="1:80" x14ac:dyDescent="0.25">
      <c r="A79" s="77"/>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row>
    <row r="80" spans="1:80" x14ac:dyDescent="0.25">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row>
    <row r="81" spans="1:63" x14ac:dyDescent="0.25">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c r="BI81" s="77"/>
      <c r="BJ81" s="77"/>
      <c r="BK81" s="77"/>
    </row>
    <row r="82" spans="1:63" x14ac:dyDescent="0.25">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row>
    <row r="83" spans="1:63" x14ac:dyDescent="0.25">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row>
    <row r="84" spans="1:63" x14ac:dyDescent="0.25">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row>
    <row r="85" spans="1:63" x14ac:dyDescent="0.25">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c r="BI85" s="77"/>
      <c r="BJ85" s="77"/>
      <c r="BK85" s="77"/>
    </row>
    <row r="86" spans="1:63" x14ac:dyDescent="0.25">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row>
    <row r="87" spans="1:63" x14ac:dyDescent="0.25">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c r="BI87" s="77"/>
      <c r="BJ87" s="77"/>
      <c r="BK87" s="77"/>
    </row>
    <row r="88" spans="1:63" x14ac:dyDescent="0.25">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77"/>
    </row>
    <row r="89" spans="1:63" x14ac:dyDescent="0.25">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row>
    <row r="90" spans="1:63" x14ac:dyDescent="0.25">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row>
    <row r="91" spans="1:63" x14ac:dyDescent="0.25">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row>
    <row r="92" spans="1:63" x14ac:dyDescent="0.25">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c r="BI92" s="77"/>
      <c r="BJ92" s="77"/>
      <c r="BK92" s="77"/>
    </row>
    <row r="93" spans="1:63" x14ac:dyDescent="0.25">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c r="BI93" s="77"/>
      <c r="BJ93" s="77"/>
      <c r="BK93" s="77"/>
    </row>
    <row r="94" spans="1:63" x14ac:dyDescent="0.25">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77"/>
    </row>
    <row r="95" spans="1:63" x14ac:dyDescent="0.25">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row>
    <row r="96" spans="1:63" x14ac:dyDescent="0.25">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c r="BA96" s="77"/>
      <c r="BB96" s="77"/>
      <c r="BC96" s="77"/>
      <c r="BD96" s="77"/>
      <c r="BE96" s="77"/>
      <c r="BF96" s="77"/>
      <c r="BG96" s="77"/>
      <c r="BH96" s="77"/>
      <c r="BI96" s="77"/>
      <c r="BJ96" s="77"/>
      <c r="BK96" s="77"/>
    </row>
    <row r="97" spans="1:63" x14ac:dyDescent="0.25">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7"/>
      <c r="BA97" s="77"/>
      <c r="BB97" s="77"/>
      <c r="BC97" s="77"/>
      <c r="BD97" s="77"/>
      <c r="BE97" s="77"/>
      <c r="BF97" s="77"/>
      <c r="BG97" s="77"/>
      <c r="BH97" s="77"/>
      <c r="BI97" s="77"/>
      <c r="BJ97" s="77"/>
      <c r="BK97" s="77"/>
    </row>
    <row r="98" spans="1:63" x14ac:dyDescent="0.25">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c r="BI98" s="77"/>
      <c r="BJ98" s="77"/>
      <c r="BK98" s="77"/>
    </row>
    <row r="99" spans="1:63" x14ac:dyDescent="0.25">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c r="BF99" s="77"/>
      <c r="BG99" s="77"/>
      <c r="BH99" s="77"/>
      <c r="BI99" s="77"/>
      <c r="BJ99" s="77"/>
      <c r="BK99" s="77"/>
    </row>
    <row r="100" spans="1:63" x14ac:dyDescent="0.25">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row>
    <row r="101" spans="1:63" x14ac:dyDescent="0.25">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77"/>
    </row>
    <row r="102" spans="1:63" x14ac:dyDescent="0.25">
      <c r="A102" s="77"/>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77"/>
    </row>
    <row r="103" spans="1:63" x14ac:dyDescent="0.25">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c r="BI103" s="77"/>
      <c r="BJ103" s="77"/>
      <c r="BK103" s="77"/>
    </row>
    <row r="104" spans="1:63" x14ac:dyDescent="0.25">
      <c r="A104" s="77"/>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c r="BI104" s="77"/>
      <c r="BJ104" s="77"/>
      <c r="BK104" s="77"/>
    </row>
    <row r="105" spans="1:63" x14ac:dyDescent="0.25">
      <c r="A105" s="77"/>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c r="BA105" s="77"/>
      <c r="BB105" s="77"/>
      <c r="BC105" s="77"/>
      <c r="BD105" s="77"/>
      <c r="BE105" s="77"/>
      <c r="BF105" s="77"/>
      <c r="BG105" s="77"/>
      <c r="BH105" s="77"/>
      <c r="BI105" s="77"/>
      <c r="BJ105" s="77"/>
      <c r="BK105" s="77"/>
    </row>
    <row r="106" spans="1:63" x14ac:dyDescent="0.25">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c r="BF106" s="77"/>
      <c r="BG106" s="77"/>
      <c r="BH106" s="77"/>
      <c r="BI106" s="77"/>
      <c r="BJ106" s="77"/>
      <c r="BK106" s="77"/>
    </row>
    <row r="107" spans="1:63" x14ac:dyDescent="0.25">
      <c r="A107" s="77"/>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row>
    <row r="108" spans="1:63" x14ac:dyDescent="0.25">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c r="BI108" s="77"/>
      <c r="BJ108" s="77"/>
      <c r="BK108" s="77"/>
    </row>
    <row r="109" spans="1:63" x14ac:dyDescent="0.25">
      <c r="A109" s="77"/>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row>
    <row r="110" spans="1:63" x14ac:dyDescent="0.25">
      <c r="A110" s="77"/>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77"/>
      <c r="AX110" s="77"/>
      <c r="AY110" s="77"/>
      <c r="AZ110" s="77"/>
      <c r="BA110" s="77"/>
      <c r="BB110" s="77"/>
      <c r="BC110" s="77"/>
      <c r="BD110" s="77"/>
      <c r="BE110" s="77"/>
      <c r="BF110" s="77"/>
      <c r="BG110" s="77"/>
      <c r="BH110" s="77"/>
      <c r="BI110" s="77"/>
      <c r="BJ110" s="77"/>
      <c r="BK110" s="77"/>
    </row>
    <row r="111" spans="1:63" x14ac:dyDescent="0.25">
      <c r="A111" s="77"/>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c r="BI111" s="77"/>
      <c r="BJ111" s="77"/>
      <c r="BK111" s="77"/>
    </row>
    <row r="112" spans="1:63" x14ac:dyDescent="0.25">
      <c r="A112" s="77"/>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c r="BI112" s="77"/>
      <c r="BJ112" s="77"/>
      <c r="BK112" s="77"/>
    </row>
    <row r="113" spans="1:63" x14ac:dyDescent="0.25">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7"/>
      <c r="AL113" s="77"/>
      <c r="AM113" s="77"/>
      <c r="AN113" s="77"/>
      <c r="AO113" s="77"/>
      <c r="AP113" s="77"/>
      <c r="AQ113" s="77"/>
      <c r="AR113" s="77"/>
      <c r="AS113" s="77"/>
      <c r="AT113" s="77"/>
      <c r="AU113" s="77"/>
      <c r="AV113" s="77"/>
      <c r="AW113" s="77"/>
      <c r="AX113" s="77"/>
      <c r="AY113" s="77"/>
      <c r="AZ113" s="77"/>
      <c r="BA113" s="77"/>
      <c r="BB113" s="77"/>
      <c r="BC113" s="77"/>
      <c r="BD113" s="77"/>
      <c r="BE113" s="77"/>
      <c r="BF113" s="77"/>
      <c r="BG113" s="77"/>
      <c r="BH113" s="77"/>
      <c r="BI113" s="77"/>
      <c r="BJ113" s="77"/>
      <c r="BK113" s="77"/>
    </row>
    <row r="114" spans="1:63" x14ac:dyDescent="0.25">
      <c r="A114" s="77"/>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row>
    <row r="115" spans="1:63" x14ac:dyDescent="0.25">
      <c r="A115" s="77"/>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77"/>
      <c r="AM115" s="77"/>
      <c r="AN115" s="77"/>
      <c r="AO115" s="77"/>
      <c r="AP115" s="77"/>
      <c r="AQ115" s="77"/>
      <c r="AR115" s="77"/>
      <c r="AS115" s="77"/>
      <c r="AT115" s="77"/>
      <c r="AU115" s="77"/>
      <c r="AV115" s="77"/>
      <c r="AW115" s="77"/>
      <c r="AX115" s="77"/>
      <c r="AY115" s="77"/>
      <c r="AZ115" s="77"/>
      <c r="BA115" s="77"/>
      <c r="BB115" s="77"/>
      <c r="BC115" s="77"/>
      <c r="BD115" s="77"/>
      <c r="BE115" s="77"/>
      <c r="BF115" s="77"/>
      <c r="BG115" s="77"/>
      <c r="BH115" s="77"/>
      <c r="BI115" s="77"/>
      <c r="BJ115" s="77"/>
      <c r="BK115" s="77"/>
    </row>
    <row r="116" spans="1:63" x14ac:dyDescent="0.25">
      <c r="A116" s="77"/>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77"/>
      <c r="AW116" s="77"/>
      <c r="AX116" s="77"/>
      <c r="AY116" s="77"/>
      <c r="AZ116" s="77"/>
      <c r="BA116" s="77"/>
      <c r="BB116" s="77"/>
      <c r="BC116" s="77"/>
      <c r="BD116" s="77"/>
      <c r="BE116" s="77"/>
      <c r="BF116" s="77"/>
      <c r="BG116" s="77"/>
      <c r="BH116" s="77"/>
      <c r="BI116" s="77"/>
      <c r="BJ116" s="77"/>
      <c r="BK116" s="77"/>
    </row>
    <row r="117" spans="1:63" x14ac:dyDescent="0.25">
      <c r="A117" s="77"/>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c r="AB117" s="77"/>
      <c r="AC117" s="77"/>
      <c r="AD117" s="77"/>
      <c r="AE117" s="77"/>
      <c r="AF117" s="77"/>
      <c r="AG117" s="77"/>
      <c r="AH117" s="77"/>
      <c r="AI117" s="77"/>
      <c r="AJ117" s="77"/>
      <c r="AK117" s="77"/>
      <c r="AL117" s="77"/>
      <c r="AM117" s="77"/>
      <c r="AN117" s="77"/>
      <c r="AO117" s="77"/>
      <c r="AP117" s="77"/>
      <c r="AQ117" s="77"/>
      <c r="AR117" s="77"/>
      <c r="AS117" s="77"/>
      <c r="AT117" s="77"/>
      <c r="AU117" s="77"/>
      <c r="AV117" s="77"/>
      <c r="AW117" s="77"/>
      <c r="AX117" s="77"/>
      <c r="AY117" s="77"/>
      <c r="AZ117" s="77"/>
      <c r="BA117" s="77"/>
      <c r="BB117" s="77"/>
      <c r="BC117" s="77"/>
      <c r="BD117" s="77"/>
      <c r="BE117" s="77"/>
      <c r="BF117" s="77"/>
      <c r="BG117" s="77"/>
      <c r="BH117" s="77"/>
      <c r="BI117" s="77"/>
      <c r="BJ117" s="77"/>
      <c r="BK117" s="77"/>
    </row>
    <row r="118" spans="1:63" x14ac:dyDescent="0.25">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77"/>
      <c r="AW118" s="77"/>
      <c r="AX118" s="77"/>
      <c r="AY118" s="77"/>
      <c r="AZ118" s="77"/>
      <c r="BA118" s="77"/>
      <c r="BB118" s="77"/>
      <c r="BC118" s="77"/>
      <c r="BD118" s="77"/>
      <c r="BE118" s="77"/>
      <c r="BF118" s="77"/>
      <c r="BG118" s="77"/>
      <c r="BH118" s="77"/>
      <c r="BI118" s="77"/>
      <c r="BJ118" s="77"/>
      <c r="BK118" s="77"/>
    </row>
    <row r="119" spans="1:63" x14ac:dyDescent="0.25">
      <c r="A119" s="77"/>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c r="AB119" s="77"/>
      <c r="AC119" s="77"/>
      <c r="AD119" s="77"/>
      <c r="AE119" s="77"/>
      <c r="AF119" s="77"/>
      <c r="AG119" s="77"/>
      <c r="AH119" s="77"/>
      <c r="AI119" s="77"/>
      <c r="AJ119" s="77"/>
      <c r="AK119" s="77"/>
      <c r="AL119" s="77"/>
      <c r="AM119" s="77"/>
      <c r="AN119" s="77"/>
      <c r="AO119" s="77"/>
      <c r="AP119" s="77"/>
      <c r="AQ119" s="77"/>
      <c r="AR119" s="77"/>
      <c r="AS119" s="77"/>
      <c r="AT119" s="77"/>
      <c r="AU119" s="77"/>
      <c r="AV119" s="77"/>
      <c r="AW119" s="77"/>
      <c r="AX119" s="77"/>
      <c r="AY119" s="77"/>
      <c r="AZ119" s="77"/>
      <c r="BA119" s="77"/>
      <c r="BB119" s="77"/>
      <c r="BC119" s="77"/>
      <c r="BD119" s="77"/>
      <c r="BE119" s="77"/>
      <c r="BF119" s="77"/>
      <c r="BG119" s="77"/>
      <c r="BH119" s="77"/>
      <c r="BI119" s="77"/>
      <c r="BJ119" s="77"/>
      <c r="BK119" s="77"/>
    </row>
    <row r="120" spans="1:63" x14ac:dyDescent="0.25">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c r="AB120" s="77"/>
      <c r="AC120" s="77"/>
      <c r="AD120" s="77"/>
      <c r="AE120" s="77"/>
      <c r="AF120" s="77"/>
      <c r="AG120" s="77"/>
      <c r="AH120" s="77"/>
      <c r="AI120" s="77"/>
      <c r="AJ120" s="77"/>
      <c r="AK120" s="77"/>
      <c r="AL120" s="77"/>
      <c r="AM120" s="77"/>
      <c r="AN120" s="77"/>
      <c r="AO120" s="77"/>
      <c r="AP120" s="77"/>
      <c r="AQ120" s="77"/>
      <c r="AR120" s="77"/>
      <c r="AS120" s="77"/>
      <c r="AT120" s="77"/>
      <c r="AU120" s="77"/>
      <c r="AV120" s="77"/>
      <c r="AW120" s="77"/>
      <c r="AX120" s="77"/>
      <c r="AY120" s="77"/>
      <c r="AZ120" s="77"/>
      <c r="BA120" s="77"/>
      <c r="BB120" s="77"/>
      <c r="BC120" s="77"/>
      <c r="BD120" s="77"/>
      <c r="BE120" s="77"/>
      <c r="BF120" s="77"/>
      <c r="BG120" s="77"/>
      <c r="BH120" s="77"/>
      <c r="BI120" s="77"/>
      <c r="BJ120" s="77"/>
      <c r="BK120" s="77"/>
    </row>
    <row r="121" spans="1:63" x14ac:dyDescent="0.25">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c r="AB121" s="77"/>
      <c r="AC121" s="77"/>
      <c r="AD121" s="77"/>
      <c r="AE121" s="77"/>
      <c r="AF121" s="77"/>
      <c r="AG121" s="77"/>
      <c r="AH121" s="77"/>
      <c r="AI121" s="77"/>
      <c r="AJ121" s="77"/>
      <c r="AK121" s="77"/>
      <c r="AL121" s="77"/>
      <c r="AM121" s="77"/>
      <c r="AN121" s="77"/>
      <c r="AO121" s="77"/>
      <c r="AP121" s="77"/>
      <c r="AQ121" s="77"/>
      <c r="AR121" s="77"/>
      <c r="AS121" s="77"/>
      <c r="AT121" s="77"/>
      <c r="AU121" s="77"/>
      <c r="AV121" s="77"/>
      <c r="AW121" s="77"/>
      <c r="AX121" s="77"/>
      <c r="AY121" s="77"/>
      <c r="AZ121" s="77"/>
      <c r="BA121" s="77"/>
      <c r="BB121" s="77"/>
      <c r="BC121" s="77"/>
      <c r="BD121" s="77"/>
      <c r="BE121" s="77"/>
      <c r="BF121" s="77"/>
      <c r="BG121" s="77"/>
      <c r="BH121" s="77"/>
      <c r="BI121" s="77"/>
      <c r="BJ121" s="77"/>
      <c r="BK121" s="77"/>
    </row>
    <row r="122" spans="1:63" x14ac:dyDescent="0.25">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c r="BI122" s="77"/>
      <c r="BJ122" s="77"/>
      <c r="BK122" s="77"/>
    </row>
    <row r="123" spans="1:63" x14ac:dyDescent="0.25">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c r="AB123" s="77"/>
      <c r="AC123" s="77"/>
      <c r="AD123" s="77"/>
      <c r="AE123" s="77"/>
      <c r="AF123" s="77"/>
      <c r="AG123" s="77"/>
      <c r="AH123" s="77"/>
      <c r="AI123" s="77"/>
      <c r="AJ123" s="77"/>
      <c r="AK123" s="77"/>
      <c r="AL123" s="77"/>
      <c r="AM123" s="77"/>
      <c r="AN123" s="77"/>
      <c r="AO123" s="77"/>
      <c r="AP123" s="77"/>
      <c r="AQ123" s="77"/>
      <c r="AR123" s="77"/>
      <c r="AS123" s="77"/>
      <c r="AT123" s="77"/>
      <c r="AU123" s="77"/>
      <c r="AV123" s="77"/>
      <c r="AW123" s="77"/>
      <c r="AX123" s="77"/>
      <c r="AY123" s="77"/>
      <c r="AZ123" s="77"/>
      <c r="BA123" s="77"/>
      <c r="BB123" s="77"/>
      <c r="BC123" s="77"/>
      <c r="BD123" s="77"/>
      <c r="BE123" s="77"/>
      <c r="BF123" s="77"/>
      <c r="BG123" s="77"/>
      <c r="BH123" s="77"/>
      <c r="BI123" s="77"/>
      <c r="BJ123" s="77"/>
      <c r="BK123" s="77"/>
    </row>
    <row r="124" spans="1:63" x14ac:dyDescent="0.25">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c r="AB124" s="77"/>
      <c r="AC124" s="77"/>
      <c r="AD124" s="77"/>
      <c r="AE124" s="77"/>
      <c r="AF124" s="77"/>
      <c r="AG124" s="77"/>
      <c r="AH124" s="77"/>
      <c r="AI124" s="77"/>
      <c r="AJ124" s="77"/>
      <c r="AK124" s="77"/>
      <c r="AL124" s="77"/>
      <c r="AM124" s="77"/>
      <c r="AN124" s="77"/>
      <c r="AO124" s="77"/>
      <c r="AP124" s="77"/>
      <c r="AQ124" s="77"/>
      <c r="AR124" s="77"/>
      <c r="AS124" s="77"/>
      <c r="AT124" s="77"/>
      <c r="AU124" s="77"/>
      <c r="AV124" s="77"/>
      <c r="AW124" s="77"/>
      <c r="AX124" s="77"/>
      <c r="AY124" s="77"/>
      <c r="AZ124" s="77"/>
      <c r="BA124" s="77"/>
      <c r="BB124" s="77"/>
      <c r="BC124" s="77"/>
      <c r="BD124" s="77"/>
      <c r="BE124" s="77"/>
      <c r="BF124" s="77"/>
      <c r="BG124" s="77"/>
      <c r="BH124" s="77"/>
      <c r="BI124" s="77"/>
      <c r="BJ124" s="77"/>
      <c r="BK124" s="77"/>
    </row>
    <row r="125" spans="1:63" x14ac:dyDescent="0.25">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7"/>
      <c r="AO125" s="77"/>
      <c r="AP125" s="77"/>
      <c r="AQ125" s="77"/>
      <c r="AR125" s="77"/>
      <c r="AS125" s="77"/>
      <c r="AT125" s="77"/>
      <c r="AU125" s="77"/>
      <c r="AV125" s="77"/>
      <c r="AW125" s="77"/>
      <c r="AX125" s="77"/>
      <c r="AY125" s="77"/>
      <c r="AZ125" s="77"/>
      <c r="BA125" s="77"/>
      <c r="BB125" s="77"/>
      <c r="BC125" s="77"/>
      <c r="BD125" s="77"/>
      <c r="BE125" s="77"/>
      <c r="BF125" s="77"/>
      <c r="BG125" s="77"/>
      <c r="BH125" s="77"/>
      <c r="BI125" s="77"/>
      <c r="BJ125" s="77"/>
      <c r="BK125" s="77"/>
    </row>
    <row r="126" spans="1:63" x14ac:dyDescent="0.25">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7"/>
      <c r="AO126" s="77"/>
      <c r="AP126" s="77"/>
      <c r="AQ126" s="77"/>
      <c r="AR126" s="77"/>
      <c r="AS126" s="77"/>
      <c r="AT126" s="77"/>
      <c r="AU126" s="77"/>
      <c r="AV126" s="77"/>
      <c r="AW126" s="77"/>
      <c r="AX126" s="77"/>
      <c r="AY126" s="77"/>
      <c r="AZ126" s="77"/>
      <c r="BA126" s="77"/>
      <c r="BB126" s="77"/>
      <c r="BC126" s="77"/>
      <c r="BD126" s="77"/>
      <c r="BE126" s="77"/>
      <c r="BF126" s="77"/>
      <c r="BG126" s="77"/>
      <c r="BH126" s="77"/>
      <c r="BI126" s="77"/>
      <c r="BJ126" s="77"/>
      <c r="BK126" s="77"/>
    </row>
    <row r="127" spans="1:63" x14ac:dyDescent="0.25">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77"/>
      <c r="AB127" s="77"/>
      <c r="AC127" s="77"/>
      <c r="AD127" s="77"/>
      <c r="AE127" s="77"/>
      <c r="AF127" s="77"/>
      <c r="AG127" s="77"/>
      <c r="AH127" s="77"/>
      <c r="AI127" s="77"/>
      <c r="AJ127" s="77"/>
      <c r="AK127" s="77"/>
      <c r="AL127" s="77"/>
      <c r="AM127" s="77"/>
      <c r="AN127" s="77"/>
      <c r="AO127" s="77"/>
      <c r="AP127" s="77"/>
      <c r="AQ127" s="77"/>
      <c r="AR127" s="77"/>
      <c r="AS127" s="77"/>
      <c r="AT127" s="77"/>
      <c r="AU127" s="77"/>
      <c r="AV127" s="77"/>
      <c r="AW127" s="77"/>
      <c r="AX127" s="77"/>
      <c r="AY127" s="77"/>
      <c r="AZ127" s="77"/>
      <c r="BA127" s="77"/>
      <c r="BB127" s="77"/>
      <c r="BC127" s="77"/>
      <c r="BD127" s="77"/>
      <c r="BE127" s="77"/>
      <c r="BF127" s="77"/>
      <c r="BG127" s="77"/>
      <c r="BH127" s="77"/>
      <c r="BI127" s="77"/>
      <c r="BJ127" s="77"/>
      <c r="BK127" s="77"/>
    </row>
    <row r="128" spans="1:63" x14ac:dyDescent="0.25">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c r="AB128" s="77"/>
      <c r="AC128" s="77"/>
      <c r="AD128" s="77"/>
      <c r="AE128" s="77"/>
      <c r="AF128" s="77"/>
      <c r="AG128" s="77"/>
      <c r="AH128" s="77"/>
      <c r="AI128" s="77"/>
      <c r="AJ128" s="77"/>
      <c r="AK128" s="77"/>
      <c r="AL128" s="77"/>
      <c r="AM128" s="77"/>
      <c r="AN128" s="77"/>
      <c r="AO128" s="77"/>
      <c r="AP128" s="77"/>
      <c r="AQ128" s="77"/>
      <c r="AR128" s="77"/>
      <c r="AS128" s="77"/>
      <c r="AT128" s="77"/>
      <c r="AU128" s="77"/>
      <c r="AV128" s="77"/>
      <c r="AW128" s="77"/>
      <c r="AX128" s="77"/>
      <c r="AY128" s="77"/>
      <c r="AZ128" s="77"/>
      <c r="BA128" s="77"/>
      <c r="BB128" s="77"/>
      <c r="BC128" s="77"/>
      <c r="BD128" s="77"/>
      <c r="BE128" s="77"/>
      <c r="BF128" s="77"/>
      <c r="BG128" s="77"/>
      <c r="BH128" s="77"/>
      <c r="BI128" s="77"/>
      <c r="BJ128" s="77"/>
      <c r="BK128" s="77"/>
    </row>
    <row r="129" spans="2:63" x14ac:dyDescent="0.25">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c r="AR129" s="77"/>
      <c r="AS129" s="77"/>
      <c r="AT129" s="77"/>
      <c r="AU129" s="77"/>
      <c r="AV129" s="77"/>
      <c r="AW129" s="77"/>
      <c r="AX129" s="77"/>
      <c r="AY129" s="77"/>
      <c r="AZ129" s="77"/>
      <c r="BA129" s="77"/>
      <c r="BB129" s="77"/>
      <c r="BC129" s="77"/>
      <c r="BD129" s="77"/>
      <c r="BE129" s="77"/>
      <c r="BF129" s="77"/>
      <c r="BG129" s="77"/>
      <c r="BH129" s="77"/>
      <c r="BI129" s="77"/>
      <c r="BJ129" s="77"/>
      <c r="BK129" s="77"/>
    </row>
    <row r="130" spans="2:63" x14ac:dyDescent="0.25">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c r="BI130" s="77"/>
      <c r="BJ130" s="77"/>
      <c r="BK130" s="77"/>
    </row>
    <row r="131" spans="2:63" x14ac:dyDescent="0.25">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c r="AB131" s="77"/>
      <c r="AC131" s="77"/>
      <c r="AD131" s="77"/>
      <c r="AE131" s="77"/>
      <c r="AF131" s="77"/>
      <c r="AG131" s="77"/>
      <c r="AH131" s="77"/>
      <c r="AI131" s="77"/>
      <c r="AJ131" s="77"/>
      <c r="AK131" s="77"/>
      <c r="AL131" s="77"/>
      <c r="AM131" s="77"/>
      <c r="AN131" s="77"/>
      <c r="AO131" s="77"/>
      <c r="AP131" s="77"/>
      <c r="AQ131" s="77"/>
      <c r="AR131" s="77"/>
      <c r="AS131" s="77"/>
      <c r="AT131" s="77"/>
      <c r="AU131" s="77"/>
      <c r="AV131" s="77"/>
      <c r="AW131" s="77"/>
      <c r="AX131" s="77"/>
      <c r="AY131" s="77"/>
      <c r="AZ131" s="77"/>
      <c r="BA131" s="77"/>
      <c r="BB131" s="77"/>
      <c r="BC131" s="77"/>
      <c r="BD131" s="77"/>
      <c r="BE131" s="77"/>
      <c r="BF131" s="77"/>
      <c r="BG131" s="77"/>
      <c r="BH131" s="77"/>
      <c r="BI131" s="77"/>
      <c r="BJ131" s="77"/>
      <c r="BK131" s="77"/>
    </row>
    <row r="132" spans="2:63" x14ac:dyDescent="0.25">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c r="AB132" s="77"/>
      <c r="AC132" s="77"/>
      <c r="AD132" s="77"/>
      <c r="AE132" s="77"/>
      <c r="AF132" s="77"/>
      <c r="AG132" s="77"/>
      <c r="AH132" s="77"/>
      <c r="AI132" s="77"/>
      <c r="AJ132" s="77"/>
      <c r="AK132" s="77"/>
      <c r="AL132" s="77"/>
      <c r="AM132" s="77"/>
      <c r="AN132" s="77"/>
      <c r="AO132" s="77"/>
      <c r="AP132" s="77"/>
      <c r="AQ132" s="77"/>
      <c r="AR132" s="77"/>
      <c r="AS132" s="77"/>
      <c r="AT132" s="77"/>
      <c r="AU132" s="77"/>
      <c r="AV132" s="77"/>
      <c r="AW132" s="77"/>
      <c r="AX132" s="77"/>
      <c r="AY132" s="77"/>
      <c r="AZ132" s="77"/>
      <c r="BA132" s="77"/>
      <c r="BB132" s="77"/>
      <c r="BC132" s="77"/>
      <c r="BD132" s="77"/>
      <c r="BE132" s="77"/>
      <c r="BF132" s="77"/>
      <c r="BG132" s="77"/>
      <c r="BH132" s="77"/>
      <c r="BI132" s="77"/>
      <c r="BJ132" s="77"/>
      <c r="BK132" s="77"/>
    </row>
    <row r="133" spans="2:63" x14ac:dyDescent="0.25">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c r="AB133" s="77"/>
      <c r="AC133" s="77"/>
      <c r="AD133" s="77"/>
      <c r="AE133" s="77"/>
      <c r="AF133" s="77"/>
      <c r="AG133" s="77"/>
      <c r="AH133" s="77"/>
      <c r="AI133" s="77"/>
      <c r="AJ133" s="77"/>
      <c r="AK133" s="77"/>
      <c r="AL133" s="77"/>
      <c r="AM133" s="77"/>
      <c r="AN133" s="77"/>
      <c r="AO133" s="77"/>
      <c r="AP133" s="77"/>
      <c r="AQ133" s="77"/>
      <c r="AR133" s="77"/>
      <c r="AS133" s="77"/>
      <c r="AT133" s="77"/>
      <c r="AU133" s="77"/>
      <c r="AV133" s="77"/>
      <c r="AW133" s="77"/>
      <c r="AX133" s="77"/>
      <c r="AY133" s="77"/>
      <c r="AZ133" s="77"/>
      <c r="BA133" s="77"/>
      <c r="BB133" s="77"/>
      <c r="BC133" s="77"/>
      <c r="BD133" s="77"/>
      <c r="BE133" s="77"/>
      <c r="BF133" s="77"/>
      <c r="BG133" s="77"/>
      <c r="BH133" s="77"/>
      <c r="BI133" s="77"/>
      <c r="BJ133" s="77"/>
      <c r="BK133" s="77"/>
    </row>
    <row r="134" spans="2:63" x14ac:dyDescent="0.25">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c r="BA134" s="77"/>
      <c r="BB134" s="77"/>
      <c r="BC134" s="77"/>
      <c r="BD134" s="77"/>
      <c r="BE134" s="77"/>
      <c r="BF134" s="77"/>
      <c r="BG134" s="77"/>
      <c r="BH134" s="77"/>
      <c r="BI134" s="77"/>
      <c r="BJ134" s="77"/>
      <c r="BK134" s="77"/>
    </row>
    <row r="135" spans="2:63" x14ac:dyDescent="0.25">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77"/>
      <c r="AM135" s="77"/>
      <c r="AN135" s="77"/>
      <c r="AO135" s="77"/>
      <c r="AP135" s="77"/>
      <c r="AQ135" s="77"/>
      <c r="AR135" s="77"/>
      <c r="AS135" s="77"/>
      <c r="AT135" s="77"/>
      <c r="AU135" s="77"/>
      <c r="AV135" s="77"/>
      <c r="AW135" s="77"/>
      <c r="AX135" s="77"/>
      <c r="AY135" s="77"/>
      <c r="AZ135" s="77"/>
      <c r="BA135" s="77"/>
      <c r="BB135" s="77"/>
      <c r="BC135" s="77"/>
      <c r="BD135" s="77"/>
      <c r="BE135" s="77"/>
      <c r="BF135" s="77"/>
      <c r="BG135" s="77"/>
      <c r="BH135" s="77"/>
      <c r="BI135" s="77"/>
      <c r="BJ135" s="77"/>
      <c r="BK135" s="77"/>
    </row>
    <row r="136" spans="2:63" x14ac:dyDescent="0.25">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77"/>
      <c r="AB136" s="77"/>
      <c r="AC136" s="77"/>
      <c r="AD136" s="77"/>
      <c r="AE136" s="77"/>
      <c r="AF136" s="77"/>
      <c r="AG136" s="77"/>
      <c r="AH136" s="77"/>
      <c r="AI136" s="77"/>
      <c r="AJ136" s="77"/>
      <c r="AK136" s="77"/>
      <c r="AL136" s="77"/>
      <c r="AM136" s="77"/>
      <c r="AN136" s="77"/>
      <c r="AO136" s="77"/>
      <c r="AP136" s="77"/>
      <c r="AQ136" s="77"/>
      <c r="AR136" s="77"/>
      <c r="AS136" s="77"/>
      <c r="AT136" s="77"/>
      <c r="AU136" s="77"/>
      <c r="AV136" s="77"/>
      <c r="AW136" s="77"/>
      <c r="AX136" s="77"/>
      <c r="AY136" s="77"/>
      <c r="AZ136" s="77"/>
      <c r="BA136" s="77"/>
      <c r="BB136" s="77"/>
      <c r="BC136" s="77"/>
      <c r="BD136" s="77"/>
      <c r="BE136" s="77"/>
      <c r="BF136" s="77"/>
      <c r="BG136" s="77"/>
      <c r="BH136" s="77"/>
      <c r="BI136" s="77"/>
      <c r="BJ136" s="77"/>
      <c r="BK136" s="77"/>
    </row>
    <row r="137" spans="2:63" x14ac:dyDescent="0.25">
      <c r="B137" s="77"/>
      <c r="C137" s="77"/>
      <c r="D137" s="77"/>
      <c r="E137" s="77"/>
      <c r="F137" s="77"/>
      <c r="G137" s="77"/>
      <c r="H137" s="77"/>
      <c r="I137" s="77"/>
    </row>
    <row r="138" spans="2:63" x14ac:dyDescent="0.25">
      <c r="B138" s="77"/>
      <c r="C138" s="77"/>
      <c r="D138" s="77"/>
      <c r="E138" s="77"/>
      <c r="F138" s="77"/>
      <c r="G138" s="77"/>
      <c r="H138" s="77"/>
      <c r="I138" s="77"/>
    </row>
    <row r="139" spans="2:63" x14ac:dyDescent="0.25">
      <c r="B139" s="77"/>
      <c r="C139" s="77"/>
      <c r="D139" s="77"/>
      <c r="E139" s="77"/>
      <c r="F139" s="77"/>
      <c r="G139" s="77"/>
      <c r="H139" s="77"/>
      <c r="I139" s="77"/>
    </row>
    <row r="140" spans="2:63" x14ac:dyDescent="0.25">
      <c r="B140" s="77"/>
      <c r="C140" s="77"/>
      <c r="D140" s="77"/>
      <c r="E140" s="77"/>
      <c r="F140" s="77"/>
      <c r="G140" s="77"/>
      <c r="H140" s="77"/>
      <c r="I140" s="77"/>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J6" sqref="J6"/>
    </sheetView>
  </sheetViews>
  <sheetFormatPr baseColWidth="10" defaultRowHeight="15" x14ac:dyDescent="0.25"/>
  <cols>
    <col min="2" max="18" width="5.7109375" customWidth="1"/>
    <col min="19" max="19" width="8.42578125" customWidth="1"/>
    <col min="20" max="23" width="5.7109375" customWidth="1"/>
    <col min="24" max="24" width="8.42578125" customWidth="1"/>
    <col min="25" max="26" width="5.7109375" customWidth="1"/>
    <col min="27" max="27" width="10.7109375" customWidth="1"/>
    <col min="28" max="28" width="5.7109375" customWidth="1"/>
    <col min="29" max="29" width="7.42578125" customWidth="1"/>
    <col min="30" max="33" width="5.7109375" customWidth="1"/>
    <col min="34" max="34" width="8.42578125" customWidth="1"/>
    <col min="35" max="39" width="5.7109375" customWidth="1"/>
    <col min="41" max="46" width="5.7109375" customWidth="1"/>
  </cols>
  <sheetData>
    <row r="1" spans="1:91" x14ac:dyDescent="0.25">
      <c r="A1" s="77"/>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row>
    <row r="2" spans="1:91" ht="18" customHeight="1" x14ac:dyDescent="0.25">
      <c r="A2" s="77"/>
      <c r="B2" s="457" t="s">
        <v>153</v>
      </c>
      <c r="C2" s="458"/>
      <c r="D2" s="458"/>
      <c r="E2" s="458"/>
      <c r="F2" s="458"/>
      <c r="G2" s="458"/>
      <c r="H2" s="458"/>
      <c r="I2" s="458"/>
      <c r="J2" s="379" t="s">
        <v>2</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77"/>
      <c r="CK2" s="77"/>
      <c r="CL2" s="77"/>
      <c r="CM2" s="77"/>
    </row>
    <row r="3" spans="1:91" ht="18.75" customHeight="1" x14ac:dyDescent="0.25">
      <c r="A3" s="77"/>
      <c r="B3" s="458"/>
      <c r="C3" s="458"/>
      <c r="D3" s="458"/>
      <c r="E3" s="458"/>
      <c r="F3" s="458"/>
      <c r="G3" s="458"/>
      <c r="H3" s="458"/>
      <c r="I3" s="458"/>
      <c r="J3" s="379"/>
      <c r="K3" s="379"/>
      <c r="L3" s="379"/>
      <c r="M3" s="379"/>
      <c r="N3" s="379"/>
      <c r="O3" s="379"/>
      <c r="P3" s="379"/>
      <c r="Q3" s="379"/>
      <c r="R3" s="379"/>
      <c r="S3" s="379"/>
      <c r="T3" s="379"/>
      <c r="U3" s="379"/>
      <c r="V3" s="379"/>
      <c r="W3" s="379"/>
      <c r="X3" s="379"/>
      <c r="Y3" s="379"/>
      <c r="Z3" s="379"/>
      <c r="AA3" s="379"/>
      <c r="AB3" s="379"/>
      <c r="AC3" s="379"/>
      <c r="AD3" s="379"/>
      <c r="AE3" s="379"/>
      <c r="AF3" s="379"/>
      <c r="AG3" s="379"/>
      <c r="AH3" s="379"/>
      <c r="AI3" s="379"/>
      <c r="AJ3" s="379"/>
      <c r="AK3" s="379"/>
      <c r="AL3" s="379"/>
      <c r="AM3" s="379"/>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row>
    <row r="4" spans="1:91" ht="15" customHeight="1" x14ac:dyDescent="0.25">
      <c r="A4" s="77"/>
      <c r="B4" s="458"/>
      <c r="C4" s="458"/>
      <c r="D4" s="458"/>
      <c r="E4" s="458"/>
      <c r="F4" s="458"/>
      <c r="G4" s="458"/>
      <c r="H4" s="458"/>
      <c r="I4" s="458"/>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77"/>
    </row>
    <row r="5" spans="1:91" ht="15.75" thickBot="1" x14ac:dyDescent="0.3">
      <c r="A5" s="77"/>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row>
    <row r="6" spans="1:91" ht="15" customHeight="1" x14ac:dyDescent="0.25">
      <c r="A6" s="77"/>
      <c r="B6" s="390" t="s">
        <v>3</v>
      </c>
      <c r="C6" s="390"/>
      <c r="D6" s="391"/>
      <c r="E6" s="428" t="s">
        <v>113</v>
      </c>
      <c r="F6" s="429"/>
      <c r="G6" s="429"/>
      <c r="H6" s="429"/>
      <c r="I6" s="430"/>
      <c r="J6" s="40" t="str">
        <f>IF(AND(Riesgos!$AB$10="Muy Alta",Riesgos!$AD$10="Leve"),CONCATENATE("R1C",Riesgos!$R$10),"")</f>
        <v/>
      </c>
      <c r="K6" s="41" t="str">
        <f>IF(AND(Riesgos!$AB$11="Muy Alta",Riesgos!$AD$11="Leve"),CONCATENATE("R1C",Riesgos!$R$11),"")</f>
        <v/>
      </c>
      <c r="L6" s="41" t="str">
        <f>IF(AND(Riesgos!$AB$12="Muy Alta",Riesgos!$AD$12="Leve"),CONCATENATE("R1C",Riesgos!$R$12),"")</f>
        <v/>
      </c>
      <c r="M6" s="41" t="str">
        <f>IF(AND(Riesgos!$AB$13="Muy Alta",Riesgos!$AD$13="Leve"),CONCATENATE("R1C",Riesgos!$R$13),"")</f>
        <v/>
      </c>
      <c r="N6" s="41" t="str">
        <f>IF(AND(Riesgos!$AB$14="Muy Alta",Riesgos!$AD$14="Leve"),CONCATENATE("R1C",Riesgos!$R$14),"")</f>
        <v/>
      </c>
      <c r="O6" s="42" t="str">
        <f>IF(AND(Riesgos!$AB$15="Muy Alta",Riesgos!$AD$15="Leve"),CONCATENATE("R1C",Riesgos!$R$15),"")</f>
        <v/>
      </c>
      <c r="P6" s="40" t="str">
        <f>IF(AND(Riesgos!$AB$10="Muy Alta",Riesgos!$AD$10="Menor"),CONCATENATE("R1C",Riesgos!$R$10),"")</f>
        <v/>
      </c>
      <c r="Q6" s="41" t="str">
        <f>IF(AND(Riesgos!$AB$11="Muy Alta",Riesgos!$AD$11="Menor"),CONCATENATE("R1C",Riesgos!$R$11),"")</f>
        <v/>
      </c>
      <c r="R6" s="41" t="str">
        <f>IF(AND(Riesgos!$AB$12="Muy Alta",Riesgos!$AD$12="Menor"),CONCATENATE("R1C",Riesgos!$R$12),"")</f>
        <v/>
      </c>
      <c r="S6" s="41" t="str">
        <f>IF(AND(Riesgos!$AB$13="Muy Alta",Riesgos!$AD$13="Menor"),CONCATENATE("R1C",Riesgos!$R$13),"")</f>
        <v/>
      </c>
      <c r="T6" s="41" t="str">
        <f>IF(AND(Riesgos!$AB$14="Muy Alta",Riesgos!$AD$14="Menor"),CONCATENATE("R1C",Riesgos!$R$14),"")</f>
        <v/>
      </c>
      <c r="U6" s="42" t="str">
        <f>IF(AND(Riesgos!$AB$15="Muy Alta",Riesgos!$AD$15="Menor"),CONCATENATE("R1C",Riesgos!$R$15),"")</f>
        <v/>
      </c>
      <c r="V6" s="40" t="str">
        <f>IF(AND(Riesgos!$AB$10="Muy Alta",Riesgos!$AD$10="Moderado"),CONCATENATE("R1C",Riesgos!$R$10),"")</f>
        <v/>
      </c>
      <c r="W6" s="41" t="str">
        <f>IF(AND(Riesgos!$AB$11="Muy Alta",Riesgos!$AD$11="Moderado"),CONCATENATE("R1C",Riesgos!$R$11),"")</f>
        <v/>
      </c>
      <c r="X6" s="41" t="str">
        <f>IF(AND(Riesgos!$AB$12="Muy Alta",Riesgos!$AD$12="Moderado"),CONCATENATE("R1C",Riesgos!$R$12),"")</f>
        <v/>
      </c>
      <c r="Y6" s="41" t="str">
        <f>IF(AND(Riesgos!$AB$13="Muy Alta",Riesgos!$AD$13="Moderado"),CONCATENATE("R1C",Riesgos!$R$13),"")</f>
        <v/>
      </c>
      <c r="Z6" s="41" t="str">
        <f>IF(AND(Riesgos!$AB$14="Muy Alta",Riesgos!$AD$14="Moderado"),CONCATENATE("R1C",Riesgos!$R$14),"")</f>
        <v/>
      </c>
      <c r="AA6" s="42" t="str">
        <f>IF(AND(Riesgos!$AB$15="Muy Alta",Riesgos!$AD$15="Moderado"),CONCATENATE("R1C",Riesgos!$R$15),"")</f>
        <v/>
      </c>
      <c r="AB6" s="40" t="str">
        <f>IF(AND(Riesgos!$AB$10="Muy Alta",Riesgos!$AD$10="Mayor"),CONCATENATE("R1C",Riesgos!$R$10),"")</f>
        <v/>
      </c>
      <c r="AC6" s="41" t="str">
        <f>IF(AND(Riesgos!$AB$11="Muy Alta",Riesgos!$AD$11="Mayor"),CONCATENATE("R1C",Riesgos!$R$11),"")</f>
        <v/>
      </c>
      <c r="AD6" s="41" t="str">
        <f>IF(AND(Riesgos!$AB$12="Muy Alta",Riesgos!$AD$12="Mayor"),CONCATENATE("R1C",Riesgos!$R$12),"")</f>
        <v/>
      </c>
      <c r="AE6" s="41" t="str">
        <f>IF(AND(Riesgos!$AB$13="Muy Alta",Riesgos!$AD$13="Mayor"),CONCATENATE("R1C",Riesgos!$R$13),"")</f>
        <v/>
      </c>
      <c r="AF6" s="41" t="str">
        <f>IF(AND(Riesgos!$AB$14="Muy Alta",Riesgos!$AD$14="Mayor"),CONCATENATE("R1C",Riesgos!$R$14),"")</f>
        <v/>
      </c>
      <c r="AG6" s="42" t="str">
        <f>IF(AND(Riesgos!$AB$15="Muy Alta",Riesgos!$AD$15="Mayor"),CONCATENATE("R1C",Riesgos!$R$15),"")</f>
        <v/>
      </c>
      <c r="AH6" s="43" t="str">
        <f>IF(AND(Riesgos!$AB$10="Muy Alta",Riesgos!$AD$10="Catastrófico"),CONCATENATE("R1C",Riesgos!$R$10),"")</f>
        <v/>
      </c>
      <c r="AI6" s="44" t="str">
        <f>IF(AND(Riesgos!$AB$11="Muy Alta",Riesgos!$AD$11="Catastrófico"),CONCATENATE("R1C",Riesgos!$R$11),"")</f>
        <v/>
      </c>
      <c r="AJ6" s="44" t="str">
        <f>IF(AND(Riesgos!$AB$12="Muy Alta",Riesgos!$AD$12="Catastrófico"),CONCATENATE("R1C",Riesgos!$R$12),"")</f>
        <v/>
      </c>
      <c r="AK6" s="44" t="str">
        <f>IF(AND(Riesgos!$AB$13="Muy Alta",Riesgos!$AD$13="Catastrófico"),CONCATENATE("R1C",Riesgos!$R$13),"")</f>
        <v/>
      </c>
      <c r="AL6" s="44" t="str">
        <f>IF(AND(Riesgos!$AB$14="Muy Alta",Riesgos!$AD$14="Catastrófico"),CONCATENATE("R1C",Riesgos!$R$14),"")</f>
        <v/>
      </c>
      <c r="AM6" s="45" t="str">
        <f>IF(AND(Riesgos!$AB$15="Muy Alta",Riesgos!$AD$15="Catastrófico"),CONCATENATE("R1C",Riesgos!$R$15),"")</f>
        <v/>
      </c>
      <c r="AN6" s="77"/>
      <c r="AO6" s="448" t="s">
        <v>76</v>
      </c>
      <c r="AP6" s="449"/>
      <c r="AQ6" s="449"/>
      <c r="AR6" s="449"/>
      <c r="AS6" s="449"/>
      <c r="AT6" s="450"/>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row>
    <row r="7" spans="1:91" ht="15" customHeight="1" x14ac:dyDescent="0.25">
      <c r="A7" s="77"/>
      <c r="B7" s="390"/>
      <c r="C7" s="390"/>
      <c r="D7" s="391"/>
      <c r="E7" s="431"/>
      <c r="F7" s="432"/>
      <c r="G7" s="432"/>
      <c r="H7" s="432"/>
      <c r="I7" s="433"/>
      <c r="J7" s="46" t="str">
        <f>IF(AND(Riesgos!$AB$16="Muy Alta",Riesgos!$AD$16="Leve"),CONCATENATE("R2C",Riesgos!$R$16),"")</f>
        <v/>
      </c>
      <c r="K7" s="47" t="str">
        <f>IF(AND(Riesgos!$AB$17="Muy Alta",Riesgos!$AD$17="Leve"),CONCATENATE("R2C",Riesgos!$R$17),"")</f>
        <v/>
      </c>
      <c r="L7" s="47" t="str">
        <f>IF(AND(Riesgos!$AB$18="Muy Alta",Riesgos!$AD$18="Leve"),CONCATENATE("R2C",Riesgos!$R$18),"")</f>
        <v/>
      </c>
      <c r="M7" s="47" t="str">
        <f>IF(AND(Riesgos!$AB$19="Muy Alta",Riesgos!$AD$19="Leve"),CONCATENATE("R2C",Riesgos!$R$19),"")</f>
        <v/>
      </c>
      <c r="N7" s="47" t="str">
        <f>IF(AND(Riesgos!$AB$20="Muy Alta",Riesgos!$AD$20="Leve"),CONCATENATE("R2C",Riesgos!$R$20),"")</f>
        <v/>
      </c>
      <c r="O7" s="48" t="str">
        <f>IF(AND(Riesgos!$AB$21="Muy Alta",Riesgos!$AD$21="Leve"),CONCATENATE("R2C",Riesgos!$R$21),"")</f>
        <v/>
      </c>
      <c r="P7" s="46" t="str">
        <f>IF(AND(Riesgos!$AB$16="Muy Alta",Riesgos!$AD$16="Menor"),CONCATENATE("R2C",Riesgos!$R$16),"")</f>
        <v/>
      </c>
      <c r="Q7" s="47" t="str">
        <f>IF(AND(Riesgos!$AB$17="Muy Alta",Riesgos!$AD$17="Menor"),CONCATENATE("R2C",Riesgos!$R$17),"")</f>
        <v/>
      </c>
      <c r="R7" s="47" t="str">
        <f>IF(AND(Riesgos!$AB$18="Muy Alta",Riesgos!$AD$18="Menor"),CONCATENATE("R2C",Riesgos!$R$18),"")</f>
        <v/>
      </c>
      <c r="S7" s="47" t="str">
        <f>IF(AND(Riesgos!$AB$19="Muy Alta",Riesgos!$AD$19="Menor"),CONCATENATE("R2C",Riesgos!$R$19),"")</f>
        <v/>
      </c>
      <c r="T7" s="47" t="str">
        <f>IF(AND(Riesgos!$AB$20="Muy Alta",Riesgos!$AD$20="Menor"),CONCATENATE("R2C",Riesgos!$R$20),"")</f>
        <v/>
      </c>
      <c r="U7" s="48" t="str">
        <f>IF(AND(Riesgos!$AB$21="Muy Alta",Riesgos!$AD$21="Menor"),CONCATENATE("R2C",Riesgos!$R$21),"")</f>
        <v/>
      </c>
      <c r="V7" s="46" t="str">
        <f>IF(AND(Riesgos!$AB$16="Muy Alta",Riesgos!$AD$16="Moderado"),CONCATENATE("R2C",Riesgos!$R$16),"")</f>
        <v/>
      </c>
      <c r="W7" s="47" t="str">
        <f>IF(AND(Riesgos!$AB$17="Muy Alta",Riesgos!$AD$17="Moderado"),CONCATENATE("R2C",Riesgos!$R$17),"")</f>
        <v/>
      </c>
      <c r="X7" s="47" t="str">
        <f>IF(AND(Riesgos!$AB$18="Muy Alta",Riesgos!$AD$18="Moderado"),CONCATENATE("R2C",Riesgos!$R$18),"")</f>
        <v/>
      </c>
      <c r="Y7" s="47" t="str">
        <f>IF(AND(Riesgos!$AB$19="Muy Alta",Riesgos!$AD$19="Moderado"),CONCATENATE("R2C",Riesgos!$R$19),"")</f>
        <v/>
      </c>
      <c r="Z7" s="47" t="str">
        <f>IF(AND(Riesgos!$AB$20="Muy Alta",Riesgos!$AD$20="Moderado"),CONCATENATE("R2C",Riesgos!$R$20),"")</f>
        <v/>
      </c>
      <c r="AA7" s="48" t="str">
        <f>IF(AND(Riesgos!$AB$21="Muy Alta",Riesgos!$AD$21="Moderado"),CONCATENATE("R2C",Riesgos!$R$21),"")</f>
        <v/>
      </c>
      <c r="AB7" s="46" t="str">
        <f>IF(AND(Riesgos!$AB$16="Muy Alta",Riesgos!$AD$16="Mayor"),CONCATENATE("R2C",Riesgos!$R$16),"")</f>
        <v/>
      </c>
      <c r="AC7" s="47" t="str">
        <f>IF(AND(Riesgos!$AB$17="Muy Alta",Riesgos!$AD$17="Mayor"),CONCATENATE("R2C",Riesgos!$R$17),"")</f>
        <v/>
      </c>
      <c r="AD7" s="47" t="str">
        <f>IF(AND(Riesgos!$AB$18="Muy Alta",Riesgos!$AD$18="Mayor"),CONCATENATE("R2C",Riesgos!$R$18),"")</f>
        <v/>
      </c>
      <c r="AE7" s="47" t="str">
        <f>IF(AND(Riesgos!$AB$19="Muy Alta",Riesgos!$AD$19="Mayor"),CONCATENATE("R2C",Riesgos!$R$19),"")</f>
        <v/>
      </c>
      <c r="AF7" s="47" t="str">
        <f>IF(AND(Riesgos!$AB$20="Muy Alta",Riesgos!$AD$20="Mayor"),CONCATENATE("R2C",Riesgos!$R$20),"")</f>
        <v/>
      </c>
      <c r="AG7" s="48" t="str">
        <f>IF(AND(Riesgos!$AB$21="Muy Alta",Riesgos!$AD$21="Mayor"),CONCATENATE("R2C",Riesgos!$R$21),"")</f>
        <v/>
      </c>
      <c r="AH7" s="49" t="str">
        <f>IF(AND(Riesgos!$AB$16="Muy Alta",Riesgos!$AD$16="Catastrófico"),CONCATENATE("R2C",Riesgos!$R$16),"")</f>
        <v/>
      </c>
      <c r="AI7" s="50" t="str">
        <f>IF(AND(Riesgos!$AB$17="Muy Alta",Riesgos!$AD$17="Catastrófico"),CONCATENATE("R2C",Riesgos!$R$17),"")</f>
        <v/>
      </c>
      <c r="AJ7" s="50" t="str">
        <f>IF(AND(Riesgos!$AB$18="Muy Alta",Riesgos!$AD$18="Catastrófico"),CONCATENATE("R2C",Riesgos!$R$18),"")</f>
        <v/>
      </c>
      <c r="AK7" s="50" t="str">
        <f>IF(AND(Riesgos!$AB$19="Muy Alta",Riesgos!$AD$19="Catastrófico"),CONCATENATE("R2C",Riesgos!$R$19),"")</f>
        <v/>
      </c>
      <c r="AL7" s="50" t="str">
        <f>IF(AND(Riesgos!$AB$20="Muy Alta",Riesgos!$AD$20="Catastrófico"),CONCATENATE("R2C",Riesgos!$R$20),"")</f>
        <v/>
      </c>
      <c r="AM7" s="51" t="str">
        <f>IF(AND(Riesgos!$AB$21="Muy Alta",Riesgos!$AD$21="Catastrófico"),CONCATENATE("R2C",Riesgos!$R$21),"")</f>
        <v/>
      </c>
      <c r="AN7" s="77"/>
      <c r="AO7" s="451"/>
      <c r="AP7" s="452"/>
      <c r="AQ7" s="452"/>
      <c r="AR7" s="452"/>
      <c r="AS7" s="452"/>
      <c r="AT7" s="453"/>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row>
    <row r="8" spans="1:91" ht="15" customHeight="1" x14ac:dyDescent="0.25">
      <c r="A8" s="77"/>
      <c r="B8" s="390"/>
      <c r="C8" s="390"/>
      <c r="D8" s="391"/>
      <c r="E8" s="431"/>
      <c r="F8" s="432"/>
      <c r="G8" s="432"/>
      <c r="H8" s="432"/>
      <c r="I8" s="433"/>
      <c r="J8" s="46" t="e">
        <f>IF(AND(Riesgos!#REF!="Muy Alta",Riesgos!#REF!="Leve"),CONCATENATE("R3C",Riesgos!#REF!),"")</f>
        <v>#REF!</v>
      </c>
      <c r="K8" s="47" t="e">
        <f>IF(AND(Riesgos!#REF!="Muy Alta",Riesgos!#REF!="Leve"),CONCATENATE("R3C",Riesgos!#REF!),"")</f>
        <v>#REF!</v>
      </c>
      <c r="L8" s="47" t="e">
        <f>IF(AND(Riesgos!#REF!="Muy Alta",Riesgos!#REF!="Leve"),CONCATENATE("R3C",Riesgos!#REF!),"")</f>
        <v>#REF!</v>
      </c>
      <c r="M8" s="47" t="e">
        <f>IF(AND(Riesgos!#REF!="Muy Alta",Riesgos!#REF!="Leve"),CONCATENATE("R3C",Riesgos!#REF!),"")</f>
        <v>#REF!</v>
      </c>
      <c r="N8" s="47" t="e">
        <f>IF(AND(Riesgos!#REF!="Muy Alta",Riesgos!#REF!="Leve"),CONCATENATE("R3C",Riesgos!#REF!),"")</f>
        <v>#REF!</v>
      </c>
      <c r="O8" s="48" t="e">
        <f>IF(AND(Riesgos!#REF!="Muy Alta",Riesgos!#REF!="Leve"),CONCATENATE("R3C",Riesgos!#REF!),"")</f>
        <v>#REF!</v>
      </c>
      <c r="P8" s="46" t="e">
        <f>IF(AND(Riesgos!#REF!="Muy Alta",Riesgos!#REF!="Menor"),CONCATENATE("R3C",Riesgos!#REF!),"")</f>
        <v>#REF!</v>
      </c>
      <c r="Q8" s="47" t="e">
        <f>IF(AND(Riesgos!#REF!="Muy Alta",Riesgos!#REF!="Menor"),CONCATENATE("R3C",Riesgos!#REF!),"")</f>
        <v>#REF!</v>
      </c>
      <c r="R8" s="47" t="e">
        <f>IF(AND(Riesgos!#REF!="Muy Alta",Riesgos!#REF!="Menor"),CONCATENATE("R3C",Riesgos!#REF!),"")</f>
        <v>#REF!</v>
      </c>
      <c r="S8" s="47" t="e">
        <f>IF(AND(Riesgos!#REF!="Muy Alta",Riesgos!#REF!="Menor"),CONCATENATE("R3C",Riesgos!#REF!),"")</f>
        <v>#REF!</v>
      </c>
      <c r="T8" s="47" t="e">
        <f>IF(AND(Riesgos!#REF!="Muy Alta",Riesgos!#REF!="Menor"),CONCATENATE("R3C",Riesgos!#REF!),"")</f>
        <v>#REF!</v>
      </c>
      <c r="U8" s="48" t="e">
        <f>IF(AND(Riesgos!#REF!="Muy Alta",Riesgos!#REF!="Menor"),CONCATENATE("R3C",Riesgos!#REF!),"")</f>
        <v>#REF!</v>
      </c>
      <c r="V8" s="46" t="e">
        <f>IF(AND(Riesgos!#REF!="Muy Alta",Riesgos!#REF!="Moderado"),CONCATENATE("R3C",Riesgos!#REF!),"")</f>
        <v>#REF!</v>
      </c>
      <c r="W8" s="47" t="e">
        <f>IF(AND(Riesgos!#REF!="Muy Alta",Riesgos!#REF!="Moderado"),CONCATENATE("R3C",Riesgos!#REF!),"")</f>
        <v>#REF!</v>
      </c>
      <c r="X8" s="47" t="e">
        <f>IF(AND(Riesgos!#REF!="Muy Alta",Riesgos!#REF!="Moderado"),CONCATENATE("R3C",Riesgos!#REF!),"")</f>
        <v>#REF!</v>
      </c>
      <c r="Y8" s="47" t="e">
        <f>IF(AND(Riesgos!#REF!="Muy Alta",Riesgos!#REF!="Moderado"),CONCATENATE("R3C",Riesgos!#REF!),"")</f>
        <v>#REF!</v>
      </c>
      <c r="Z8" s="47" t="e">
        <f>IF(AND(Riesgos!#REF!="Muy Alta",Riesgos!#REF!="Moderado"),CONCATENATE("R3C",Riesgos!#REF!),"")</f>
        <v>#REF!</v>
      </c>
      <c r="AA8" s="48" t="e">
        <f>IF(AND(Riesgos!#REF!="Muy Alta",Riesgos!#REF!="Moderado"),CONCATENATE("R3C",Riesgos!#REF!),"")</f>
        <v>#REF!</v>
      </c>
      <c r="AB8" s="46" t="e">
        <f>IF(AND(Riesgos!#REF!="Muy Alta",Riesgos!#REF!="Mayor"),CONCATENATE("R3C",Riesgos!#REF!),"")</f>
        <v>#REF!</v>
      </c>
      <c r="AC8" s="47" t="e">
        <f>IF(AND(Riesgos!#REF!="Muy Alta",Riesgos!#REF!="Mayor"),CONCATENATE("R3C",Riesgos!#REF!),"")</f>
        <v>#REF!</v>
      </c>
      <c r="AD8" s="47" t="e">
        <f>IF(AND(Riesgos!#REF!="Muy Alta",Riesgos!#REF!="Mayor"),CONCATENATE("R3C",Riesgos!#REF!),"")</f>
        <v>#REF!</v>
      </c>
      <c r="AE8" s="47" t="e">
        <f>IF(AND(Riesgos!#REF!="Muy Alta",Riesgos!#REF!="Mayor"),CONCATENATE("R3C",Riesgos!#REF!),"")</f>
        <v>#REF!</v>
      </c>
      <c r="AF8" s="47" t="e">
        <f>IF(AND(Riesgos!#REF!="Muy Alta",Riesgos!#REF!="Mayor"),CONCATENATE("R3C",Riesgos!#REF!),"")</f>
        <v>#REF!</v>
      </c>
      <c r="AG8" s="48" t="e">
        <f>IF(AND(Riesgos!#REF!="Muy Alta",Riesgos!#REF!="Mayor"),CONCATENATE("R3C",Riesgos!#REF!),"")</f>
        <v>#REF!</v>
      </c>
      <c r="AH8" s="49" t="e">
        <f>IF(AND(Riesgos!#REF!="Muy Alta",Riesgos!#REF!="Catastrófico"),CONCATENATE("R3C",Riesgos!#REF!),"")</f>
        <v>#REF!</v>
      </c>
      <c r="AI8" s="50" t="e">
        <f>IF(AND(Riesgos!#REF!="Muy Alta",Riesgos!#REF!="Catastrófico"),CONCATENATE("R3C",Riesgos!#REF!),"")</f>
        <v>#REF!</v>
      </c>
      <c r="AJ8" s="50" t="e">
        <f>IF(AND(Riesgos!#REF!="Muy Alta",Riesgos!#REF!="Catastrófico"),CONCATENATE("R3C",Riesgos!#REF!),"")</f>
        <v>#REF!</v>
      </c>
      <c r="AK8" s="50" t="e">
        <f>IF(AND(Riesgos!#REF!="Muy Alta",Riesgos!#REF!="Catastrófico"),CONCATENATE("R3C",Riesgos!#REF!),"")</f>
        <v>#REF!</v>
      </c>
      <c r="AL8" s="50" t="e">
        <f>IF(AND(Riesgos!#REF!="Muy Alta",Riesgos!#REF!="Catastrófico"),CONCATENATE("R3C",Riesgos!#REF!),"")</f>
        <v>#REF!</v>
      </c>
      <c r="AM8" s="51" t="e">
        <f>IF(AND(Riesgos!#REF!="Muy Alta",Riesgos!#REF!="Catastrófico"),CONCATENATE("R3C",Riesgos!#REF!),"")</f>
        <v>#REF!</v>
      </c>
      <c r="AN8" s="77"/>
      <c r="AO8" s="451"/>
      <c r="AP8" s="452"/>
      <c r="AQ8" s="452"/>
      <c r="AR8" s="452"/>
      <c r="AS8" s="452"/>
      <c r="AT8" s="453"/>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row>
    <row r="9" spans="1:91" ht="15" customHeight="1" x14ac:dyDescent="0.25">
      <c r="A9" s="77"/>
      <c r="B9" s="390"/>
      <c r="C9" s="390"/>
      <c r="D9" s="391"/>
      <c r="E9" s="431"/>
      <c r="F9" s="432"/>
      <c r="G9" s="432"/>
      <c r="H9" s="432"/>
      <c r="I9" s="433"/>
      <c r="J9" s="46" t="str">
        <f>IF(AND(Riesgos!$AB$22="Muy Alta",Riesgos!$AD$22="Leve"),CONCATENATE("R4C",Riesgos!$R$22),"")</f>
        <v/>
      </c>
      <c r="K9" s="47" t="str">
        <f>IF(AND(Riesgos!$AB$23="Muy Alta",Riesgos!$AD$23="Leve"),CONCATENATE("R4C",Riesgos!$R$23),"")</f>
        <v/>
      </c>
      <c r="L9" s="47" t="str">
        <f>IF(AND(Riesgos!$AB$24="Muy Alta",Riesgos!$AD$24="Leve"),CONCATENATE("R4C",Riesgos!$R$24),"")</f>
        <v/>
      </c>
      <c r="M9" s="47" t="str">
        <f>IF(AND(Riesgos!$AB$25="Muy Alta",Riesgos!$AD$25="Leve"),CONCATENATE("R4C",Riesgos!$R$25),"")</f>
        <v/>
      </c>
      <c r="N9" s="47" t="str">
        <f>IF(AND(Riesgos!$AB$26="Muy Alta",Riesgos!$AD$26="Leve"),CONCATENATE("R4C",Riesgos!$R$26),"")</f>
        <v/>
      </c>
      <c r="O9" s="48" t="str">
        <f>IF(AND(Riesgos!$AB$27="Muy Alta",Riesgos!$AD$27="Leve"),CONCATENATE("R4C",Riesgos!$R$27),"")</f>
        <v/>
      </c>
      <c r="P9" s="46" t="str">
        <f>IF(AND(Riesgos!$AB$22="Muy Alta",Riesgos!$AD$22="Menor"),CONCATENATE("R4C",Riesgos!$R$22),"")</f>
        <v/>
      </c>
      <c r="Q9" s="47" t="str">
        <f>IF(AND(Riesgos!$AB$23="Muy Alta",Riesgos!$AD$23="Menor"),CONCATENATE("R4C",Riesgos!$R$23),"")</f>
        <v/>
      </c>
      <c r="R9" s="47" t="str">
        <f>IF(AND(Riesgos!$AB$24="Muy Alta",Riesgos!$AD$24="Menor"),CONCATENATE("R4C",Riesgos!$R$24),"")</f>
        <v/>
      </c>
      <c r="S9" s="47" t="str">
        <f>IF(AND(Riesgos!$AB$25="Muy Alta",Riesgos!$AD$25="Menor"),CONCATENATE("R4C",Riesgos!$R$25),"")</f>
        <v/>
      </c>
      <c r="T9" s="47" t="str">
        <f>IF(AND(Riesgos!$AB$26="Muy Alta",Riesgos!$AD$26="Menor"),CONCATENATE("R4C",Riesgos!$R$26),"")</f>
        <v/>
      </c>
      <c r="U9" s="48" t="str">
        <f>IF(AND(Riesgos!$AB$27="Muy Alta",Riesgos!$AD$27="Menor"),CONCATENATE("R4C",Riesgos!$R$27),"")</f>
        <v/>
      </c>
      <c r="V9" s="46" t="str">
        <f>IF(AND(Riesgos!$AB$22="Muy Alta",Riesgos!$AD$22="Moderado"),CONCATENATE("R4C",Riesgos!$R$22),"")</f>
        <v/>
      </c>
      <c r="W9" s="47" t="str">
        <f>IF(AND(Riesgos!$AB$23="Muy Alta",Riesgos!$AD$23="Moderado"),CONCATENATE("R4C",Riesgos!$R$23),"")</f>
        <v/>
      </c>
      <c r="X9" s="47" t="str">
        <f>IF(AND(Riesgos!$AB$24="Muy Alta",Riesgos!$AD$24="Moderado"),CONCATENATE("R4C",Riesgos!$R$24),"")</f>
        <v/>
      </c>
      <c r="Y9" s="47" t="str">
        <f>IF(AND(Riesgos!$AB$25="Muy Alta",Riesgos!$AD$25="Moderado"),CONCATENATE("R4C",Riesgos!$R$25),"")</f>
        <v/>
      </c>
      <c r="Z9" s="47" t="str">
        <f>IF(AND(Riesgos!$AB$26="Muy Alta",Riesgos!$AD$26="Moderado"),CONCATENATE("R4C",Riesgos!$R$26),"")</f>
        <v/>
      </c>
      <c r="AA9" s="48" t="str">
        <f>IF(AND(Riesgos!$AB$27="Muy Alta",Riesgos!$AD$27="Moderado"),CONCATENATE("R4C",Riesgos!$R$27),"")</f>
        <v/>
      </c>
      <c r="AB9" s="46" t="str">
        <f>IF(AND(Riesgos!$AB$22="Muy Alta",Riesgos!$AD$22="Mayor"),CONCATENATE("R4C",Riesgos!$R$22),"")</f>
        <v/>
      </c>
      <c r="AC9" s="47" t="str">
        <f>IF(AND(Riesgos!$AB$23="Muy Alta",Riesgos!$AD$23="Mayor"),CONCATENATE("R4C",Riesgos!$R$23),"")</f>
        <v/>
      </c>
      <c r="AD9" s="47" t="str">
        <f>IF(AND(Riesgos!$AB$24="Muy Alta",Riesgos!$AD$24="Mayor"),CONCATENATE("R4C",Riesgos!$R$24),"")</f>
        <v/>
      </c>
      <c r="AE9" s="47" t="str">
        <f>IF(AND(Riesgos!$AB$25="Muy Alta",Riesgos!$AD$25="Mayor"),CONCATENATE("R4C",Riesgos!$R$25),"")</f>
        <v/>
      </c>
      <c r="AF9" s="47" t="str">
        <f>IF(AND(Riesgos!$AB$26="Muy Alta",Riesgos!$AD$26="Mayor"),CONCATENATE("R4C",Riesgos!$R$26),"")</f>
        <v/>
      </c>
      <c r="AG9" s="48" t="str">
        <f>IF(AND(Riesgos!$AB$27="Muy Alta",Riesgos!$AD$27="Mayor"),CONCATENATE("R4C",Riesgos!$R$27),"")</f>
        <v/>
      </c>
      <c r="AH9" s="49" t="str">
        <f>IF(AND(Riesgos!$AB$22="Muy Alta",Riesgos!$AD$22="Catastrófico"),CONCATENATE("R4C",Riesgos!$R$22),"")</f>
        <v/>
      </c>
      <c r="AI9" s="50" t="str">
        <f>IF(AND(Riesgos!$AB$23="Muy Alta",Riesgos!$AD$23="Catastrófico"),CONCATENATE("R4C",Riesgos!$R$23),"")</f>
        <v/>
      </c>
      <c r="AJ9" s="50" t="str">
        <f>IF(AND(Riesgos!$AB$24="Muy Alta",Riesgos!$AD$24="Catastrófico"),CONCATENATE("R4C",Riesgos!$R$24),"")</f>
        <v/>
      </c>
      <c r="AK9" s="50" t="str">
        <f>IF(AND(Riesgos!$AB$25="Muy Alta",Riesgos!$AD$25="Catastrófico"),CONCATENATE("R4C",Riesgos!$R$25),"")</f>
        <v/>
      </c>
      <c r="AL9" s="50" t="str">
        <f>IF(AND(Riesgos!$AB$26="Muy Alta",Riesgos!$AD$26="Catastrófico"),CONCATENATE("R4C",Riesgos!$R$26),"")</f>
        <v/>
      </c>
      <c r="AM9" s="51" t="str">
        <f>IF(AND(Riesgos!$AB$27="Muy Alta",Riesgos!$AD$27="Catastrófico"),CONCATENATE("R4C",Riesgos!$R$27),"")</f>
        <v/>
      </c>
      <c r="AN9" s="77"/>
      <c r="AO9" s="451"/>
      <c r="AP9" s="452"/>
      <c r="AQ9" s="452"/>
      <c r="AR9" s="452"/>
      <c r="AS9" s="452"/>
      <c r="AT9" s="453"/>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row>
    <row r="10" spans="1:91" ht="15" customHeight="1" x14ac:dyDescent="0.25">
      <c r="A10" s="77"/>
      <c r="B10" s="390"/>
      <c r="C10" s="390"/>
      <c r="D10" s="391"/>
      <c r="E10" s="431"/>
      <c r="F10" s="432"/>
      <c r="G10" s="432"/>
      <c r="H10" s="432"/>
      <c r="I10" s="433"/>
      <c r="J10" s="46" t="str">
        <f>IF(AND(Riesgos!$AB$28="Muy Alta",Riesgos!$AD$28="Leve"),CONCATENATE("R5C",Riesgos!$R$28),"")</f>
        <v/>
      </c>
      <c r="K10" s="47" t="str">
        <f>IF(AND(Riesgos!$AB$29="Muy Alta",Riesgos!$AD$29="Leve"),CONCATENATE("R5C",Riesgos!$R$29),"")</f>
        <v/>
      </c>
      <c r="L10" s="47" t="str">
        <f>IF(AND(Riesgos!$AB$30="Muy Alta",Riesgos!$AD$30="Leve"),CONCATENATE("R5C",Riesgos!$R$30),"")</f>
        <v/>
      </c>
      <c r="M10" s="47" t="str">
        <f>IF(AND(Riesgos!$AB$31="Muy Alta",Riesgos!$AD$31="Leve"),CONCATENATE("R5C",Riesgos!$R$31),"")</f>
        <v/>
      </c>
      <c r="N10" s="47" t="str">
        <f>IF(AND(Riesgos!$AB$32="Muy Alta",Riesgos!$AD$32="Leve"),CONCATENATE("R5C",Riesgos!$R$32),"")</f>
        <v/>
      </c>
      <c r="O10" s="48" t="str">
        <f>IF(AND(Riesgos!$AB$33="Muy Alta",Riesgos!$AD$33="Leve"),CONCATENATE("R5C",Riesgos!$R$33),"")</f>
        <v/>
      </c>
      <c r="P10" s="46" t="str">
        <f>IF(AND(Riesgos!$AB$28="Muy Alta",Riesgos!$AD$28="Menor"),CONCATENATE("R5C",Riesgos!$R$28),"")</f>
        <v/>
      </c>
      <c r="Q10" s="47" t="str">
        <f>IF(AND(Riesgos!$AB$29="Muy Alta",Riesgos!$AD$29="Menor"),CONCATENATE("R5C",Riesgos!$R$29),"")</f>
        <v/>
      </c>
      <c r="R10" s="47" t="str">
        <f>IF(AND(Riesgos!$AB$30="Muy Alta",Riesgos!$AD$30="Menor"),CONCATENATE("R5C",Riesgos!$R$30),"")</f>
        <v/>
      </c>
      <c r="S10" s="47" t="str">
        <f>IF(AND(Riesgos!$AB$31="Muy Alta",Riesgos!$AD$31="Menor"),CONCATENATE("R5C",Riesgos!$R$31),"")</f>
        <v/>
      </c>
      <c r="T10" s="47" t="str">
        <f>IF(AND(Riesgos!$AB$32="Muy Alta",Riesgos!$AD$32="Menor"),CONCATENATE("R5C",Riesgos!$R$32),"")</f>
        <v/>
      </c>
      <c r="U10" s="48" t="str">
        <f>IF(AND(Riesgos!$AB$33="Muy Alta",Riesgos!$AD$33="Menor"),CONCATENATE("R5C",Riesgos!$R$33),"")</f>
        <v/>
      </c>
      <c r="V10" s="46" t="str">
        <f>IF(AND(Riesgos!$AB$28="Muy Alta",Riesgos!$AD$28="Moderado"),CONCATENATE("R5C",Riesgos!$R$28),"")</f>
        <v/>
      </c>
      <c r="W10" s="47" t="str">
        <f>IF(AND(Riesgos!$AB$29="Muy Alta",Riesgos!$AD$29="Moderado"),CONCATENATE("R5C",Riesgos!$R$29),"")</f>
        <v/>
      </c>
      <c r="X10" s="47" t="str">
        <f>IF(AND(Riesgos!$AB$30="Muy Alta",Riesgos!$AD$30="Moderado"),CONCATENATE("R5C",Riesgos!$R$30),"")</f>
        <v/>
      </c>
      <c r="Y10" s="47" t="str">
        <f>IF(AND(Riesgos!$AB$31="Muy Alta",Riesgos!$AD$31="Moderado"),CONCATENATE("R5C",Riesgos!$R$31),"")</f>
        <v/>
      </c>
      <c r="Z10" s="47" t="str">
        <f>IF(AND(Riesgos!$AB$32="Muy Alta",Riesgos!$AD$32="Moderado"),CONCATENATE("R5C",Riesgos!$R$32),"")</f>
        <v/>
      </c>
      <c r="AA10" s="48" t="str">
        <f>IF(AND(Riesgos!$AB$33="Muy Alta",Riesgos!$AD$33="Moderado"),CONCATENATE("R5C",Riesgos!$R$33),"")</f>
        <v/>
      </c>
      <c r="AB10" s="46" t="str">
        <f>IF(AND(Riesgos!$AB$28="Muy Alta",Riesgos!$AD$28="Mayor"),CONCATENATE("R5C",Riesgos!$R$28),"")</f>
        <v/>
      </c>
      <c r="AC10" s="47" t="str">
        <f>IF(AND(Riesgos!$AB$29="Muy Alta",Riesgos!$AD$29="Mayor"),CONCATENATE("R5C",Riesgos!$R$29),"")</f>
        <v/>
      </c>
      <c r="AD10" s="47" t="str">
        <f>IF(AND(Riesgos!$AB$30="Muy Alta",Riesgos!$AD$30="Mayor"),CONCATENATE("R5C",Riesgos!$R$30),"")</f>
        <v/>
      </c>
      <c r="AE10" s="47" t="str">
        <f>IF(AND(Riesgos!$AB$31="Muy Alta",Riesgos!$AD$31="Mayor"),CONCATENATE("R5C",Riesgos!$R$31),"")</f>
        <v/>
      </c>
      <c r="AF10" s="47" t="str">
        <f>IF(AND(Riesgos!$AB$32="Muy Alta",Riesgos!$AD$32="Mayor"),CONCATENATE("R5C",Riesgos!$R$32),"")</f>
        <v/>
      </c>
      <c r="AG10" s="48" t="str">
        <f>IF(AND(Riesgos!$AB$33="Muy Alta",Riesgos!$AD$33="Mayor"),CONCATENATE("R5C",Riesgos!$R$33),"")</f>
        <v/>
      </c>
      <c r="AH10" s="49" t="str">
        <f>IF(AND(Riesgos!$AB$28="Muy Alta",Riesgos!$AD$28="Catastrófico"),CONCATENATE("R5C",Riesgos!$R$28),"")</f>
        <v/>
      </c>
      <c r="AI10" s="50" t="str">
        <f>IF(AND(Riesgos!$AB$29="Muy Alta",Riesgos!$AD$29="Catastrófico"),CONCATENATE("R5C",Riesgos!$R$29),"")</f>
        <v/>
      </c>
      <c r="AJ10" s="50" t="str">
        <f>IF(AND(Riesgos!$AB$30="Muy Alta",Riesgos!$AD$30="Catastrófico"),CONCATENATE("R5C",Riesgos!$R$30),"")</f>
        <v/>
      </c>
      <c r="AK10" s="50" t="str">
        <f>IF(AND(Riesgos!$AB$31="Muy Alta",Riesgos!$AD$31="Catastrófico"),CONCATENATE("R5C",Riesgos!$R$31),"")</f>
        <v/>
      </c>
      <c r="AL10" s="50" t="str">
        <f>IF(AND(Riesgos!$AB$32="Muy Alta",Riesgos!$AD$32="Catastrófico"),CONCATENATE("R5C",Riesgos!$R$32),"")</f>
        <v/>
      </c>
      <c r="AM10" s="51" t="str">
        <f>IF(AND(Riesgos!$AB$33="Muy Alta",Riesgos!$AD$33="Catastrófico"),CONCATENATE("R5C",Riesgos!$R$33),"")</f>
        <v/>
      </c>
      <c r="AN10" s="77"/>
      <c r="AO10" s="451"/>
      <c r="AP10" s="452"/>
      <c r="AQ10" s="452"/>
      <c r="AR10" s="452"/>
      <c r="AS10" s="452"/>
      <c r="AT10" s="453"/>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row>
    <row r="11" spans="1:91" ht="15" customHeight="1" x14ac:dyDescent="0.25">
      <c r="A11" s="77"/>
      <c r="B11" s="390"/>
      <c r="C11" s="390"/>
      <c r="D11" s="391"/>
      <c r="E11" s="431"/>
      <c r="F11" s="432"/>
      <c r="G11" s="432"/>
      <c r="H11" s="432"/>
      <c r="I11" s="433"/>
      <c r="J11" s="46" t="str">
        <f>IF(AND(Riesgos!$AB$34="Muy Alta",Riesgos!$AD$34="Leve"),CONCATENATE("R6C",Riesgos!$R$34),"")</f>
        <v/>
      </c>
      <c r="K11" s="47" t="str">
        <f>IF(AND(Riesgos!$AB$35="Muy Alta",Riesgos!$AD$35="Leve"),CONCATENATE("R6C",Riesgos!$R$35),"")</f>
        <v/>
      </c>
      <c r="L11" s="47" t="str">
        <f>IF(AND(Riesgos!$AB$36="Muy Alta",Riesgos!$AD$36="Leve"),CONCATENATE("R6C",Riesgos!$R$36),"")</f>
        <v/>
      </c>
      <c r="M11" s="47" t="str">
        <f>IF(AND(Riesgos!$AB$37="Muy Alta",Riesgos!$AD$37="Leve"),CONCATENATE("R6C",Riesgos!$R$37),"")</f>
        <v/>
      </c>
      <c r="N11" s="47" t="str">
        <f>IF(AND(Riesgos!$AB$38="Muy Alta",Riesgos!$AD$38="Leve"),CONCATENATE("R6C",Riesgos!$R$38),"")</f>
        <v/>
      </c>
      <c r="O11" s="48" t="str">
        <f>IF(AND(Riesgos!$AB$39="Muy Alta",Riesgos!$AD$39="Leve"),CONCATENATE("R6C",Riesgos!$R$39),"")</f>
        <v/>
      </c>
      <c r="P11" s="46" t="str">
        <f>IF(AND(Riesgos!$AB$34="Muy Alta",Riesgos!$AD$34="Menor"),CONCATENATE("R6C",Riesgos!$R$34),"")</f>
        <v/>
      </c>
      <c r="Q11" s="47" t="str">
        <f>IF(AND(Riesgos!$AB$35="Muy Alta",Riesgos!$AD$35="Menor"),CONCATENATE("R6C",Riesgos!$R$35),"")</f>
        <v/>
      </c>
      <c r="R11" s="47" t="str">
        <f>IF(AND(Riesgos!$AB$36="Muy Alta",Riesgos!$AD$36="Menor"),CONCATENATE("R6C",Riesgos!$R$36),"")</f>
        <v/>
      </c>
      <c r="S11" s="47" t="str">
        <f>IF(AND(Riesgos!$AB$37="Muy Alta",Riesgos!$AD$37="Menor"),CONCATENATE("R6C",Riesgos!$R$37),"")</f>
        <v/>
      </c>
      <c r="T11" s="47" t="str">
        <f>IF(AND(Riesgos!$AB$38="Muy Alta",Riesgos!$AD$38="Menor"),CONCATENATE("R6C",Riesgos!$R$38),"")</f>
        <v/>
      </c>
      <c r="U11" s="48" t="str">
        <f>IF(AND(Riesgos!$AB$39="Muy Alta",Riesgos!$AD$39="Menor"),CONCATENATE("R6C",Riesgos!$R$39),"")</f>
        <v/>
      </c>
      <c r="V11" s="46" t="str">
        <f>IF(AND(Riesgos!$AB$34="Muy Alta",Riesgos!$AD$34="Moderado"),CONCATENATE("R6C",Riesgos!$R$34),"")</f>
        <v/>
      </c>
      <c r="W11" s="47" t="str">
        <f>IF(AND(Riesgos!$AB$35="Muy Alta",Riesgos!$AD$35="Moderado"),CONCATENATE("R6C",Riesgos!$R$35),"")</f>
        <v/>
      </c>
      <c r="X11" s="47" t="str">
        <f>IF(AND(Riesgos!$AB$36="Muy Alta",Riesgos!$AD$36="Moderado"),CONCATENATE("R6C",Riesgos!$R$36),"")</f>
        <v/>
      </c>
      <c r="Y11" s="47" t="str">
        <f>IF(AND(Riesgos!$AB$37="Muy Alta",Riesgos!$AD$37="Moderado"),CONCATENATE("R6C",Riesgos!$R$37),"")</f>
        <v/>
      </c>
      <c r="Z11" s="47" t="str">
        <f>IF(AND(Riesgos!$AB$38="Muy Alta",Riesgos!$AD$38="Moderado"),CONCATENATE("R6C",Riesgos!$R$38),"")</f>
        <v/>
      </c>
      <c r="AA11" s="48" t="str">
        <f>IF(AND(Riesgos!$AB$39="Muy Alta",Riesgos!$AD$39="Moderado"),CONCATENATE("R6C",Riesgos!$R$39),"")</f>
        <v/>
      </c>
      <c r="AB11" s="46" t="str">
        <f>IF(AND(Riesgos!$AB$34="Muy Alta",Riesgos!$AD$34="Mayor"),CONCATENATE("R6C",Riesgos!$R$34),"")</f>
        <v/>
      </c>
      <c r="AC11" s="47" t="str">
        <f>IF(AND(Riesgos!$AB$35="Muy Alta",Riesgos!$AD$35="Mayor"),CONCATENATE("R6C",Riesgos!$R$35),"")</f>
        <v/>
      </c>
      <c r="AD11" s="47" t="str">
        <f>IF(AND(Riesgos!$AB$36="Muy Alta",Riesgos!$AD$36="Mayor"),CONCATENATE("R6C",Riesgos!$R$36),"")</f>
        <v/>
      </c>
      <c r="AE11" s="47" t="str">
        <f>IF(AND(Riesgos!$AB$37="Muy Alta",Riesgos!$AD$37="Mayor"),CONCATENATE("R6C",Riesgos!$R$37),"")</f>
        <v/>
      </c>
      <c r="AF11" s="47" t="str">
        <f>IF(AND(Riesgos!$AB$38="Muy Alta",Riesgos!$AD$38="Mayor"),CONCATENATE("R6C",Riesgos!$R$38),"")</f>
        <v/>
      </c>
      <c r="AG11" s="48" t="str">
        <f>IF(AND(Riesgos!$AB$39="Muy Alta",Riesgos!$AD$39="Mayor"),CONCATENATE("R6C",Riesgos!$R$39),"")</f>
        <v/>
      </c>
      <c r="AH11" s="49" t="str">
        <f>IF(AND(Riesgos!$AB$34="Muy Alta",Riesgos!$AD$34="Catastrófico"),CONCATENATE("R6C",Riesgos!$R$34),"")</f>
        <v/>
      </c>
      <c r="AI11" s="50" t="str">
        <f>IF(AND(Riesgos!$AB$35="Muy Alta",Riesgos!$AD$35="Catastrófico"),CONCATENATE("R6C",Riesgos!$R$35),"")</f>
        <v/>
      </c>
      <c r="AJ11" s="50" t="str">
        <f>IF(AND(Riesgos!$AB$36="Muy Alta",Riesgos!$AD$36="Catastrófico"),CONCATENATE("R6C",Riesgos!$R$36),"")</f>
        <v/>
      </c>
      <c r="AK11" s="50" t="str">
        <f>IF(AND(Riesgos!$AB$37="Muy Alta",Riesgos!$AD$37="Catastrófico"),CONCATENATE("R6C",Riesgos!$R$37),"")</f>
        <v/>
      </c>
      <c r="AL11" s="50" t="str">
        <f>IF(AND(Riesgos!$AB$38="Muy Alta",Riesgos!$AD$38="Catastrófico"),CONCATENATE("R6C",Riesgos!$R$38),"")</f>
        <v/>
      </c>
      <c r="AM11" s="51" t="str">
        <f>IF(AND(Riesgos!$AB$39="Muy Alta",Riesgos!$AD$39="Catastrófico"),CONCATENATE("R6C",Riesgos!$R$39),"")</f>
        <v/>
      </c>
      <c r="AN11" s="77"/>
      <c r="AO11" s="451"/>
      <c r="AP11" s="452"/>
      <c r="AQ11" s="452"/>
      <c r="AR11" s="452"/>
      <c r="AS11" s="452"/>
      <c r="AT11" s="453"/>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row>
    <row r="12" spans="1:91" ht="15" customHeight="1" x14ac:dyDescent="0.25">
      <c r="A12" s="77"/>
      <c r="B12" s="390"/>
      <c r="C12" s="390"/>
      <c r="D12" s="391"/>
      <c r="E12" s="431"/>
      <c r="F12" s="432"/>
      <c r="G12" s="432"/>
      <c r="H12" s="432"/>
      <c r="I12" s="433"/>
      <c r="J12" s="46" t="str">
        <f>IF(AND(Riesgos!$AB$40="Muy Alta",Riesgos!$AD$40="Leve"),CONCATENATE("R7C",Riesgos!$R$40),"")</f>
        <v/>
      </c>
      <c r="K12" s="47" t="str">
        <f>IF(AND(Riesgos!$AB$41="Muy Alta",Riesgos!$AD$41="Leve"),CONCATENATE("R7C",Riesgos!$R$41),"")</f>
        <v/>
      </c>
      <c r="L12" s="47" t="str">
        <f>IF(AND(Riesgos!$AB$42="Muy Alta",Riesgos!$AD$42="Leve"),CONCATENATE("R7C",Riesgos!$R$42),"")</f>
        <v/>
      </c>
      <c r="M12" s="47" t="str">
        <f>IF(AND(Riesgos!$AB$43="Muy Alta",Riesgos!$AD$43="Leve"),CONCATENATE("R7C",Riesgos!$R$43),"")</f>
        <v/>
      </c>
      <c r="N12" s="47" t="str">
        <f>IF(AND(Riesgos!$AB$44="Muy Alta",Riesgos!$AD$44="Leve"),CONCATENATE("R7C",Riesgos!$R$44),"")</f>
        <v/>
      </c>
      <c r="O12" s="48" t="str">
        <f>IF(AND(Riesgos!$AB$45="Muy Alta",Riesgos!$AD$45="Leve"),CONCATENATE("R7C",Riesgos!$R$45),"")</f>
        <v/>
      </c>
      <c r="P12" s="46" t="str">
        <f>IF(AND(Riesgos!$AB$40="Muy Alta",Riesgos!$AD$40="Menor"),CONCATENATE("R7C",Riesgos!$R$40),"")</f>
        <v/>
      </c>
      <c r="Q12" s="47" t="str">
        <f>IF(AND(Riesgos!$AB$41="Muy Alta",Riesgos!$AD$41="Menor"),CONCATENATE("R7C",Riesgos!$R$41),"")</f>
        <v/>
      </c>
      <c r="R12" s="47" t="str">
        <f>IF(AND(Riesgos!$AB$42="Muy Alta",Riesgos!$AD$42="Menor"),CONCATENATE("R7C",Riesgos!$R$42),"")</f>
        <v/>
      </c>
      <c r="S12" s="47" t="str">
        <f>IF(AND(Riesgos!$AB$43="Muy Alta",Riesgos!$AD$43="Menor"),CONCATENATE("R7C",Riesgos!$R$43),"")</f>
        <v/>
      </c>
      <c r="T12" s="47" t="str">
        <f>IF(AND(Riesgos!$AB$44="Muy Alta",Riesgos!$AD$44="Menor"),CONCATENATE("R7C",Riesgos!$R$44),"")</f>
        <v/>
      </c>
      <c r="U12" s="48" t="str">
        <f>IF(AND(Riesgos!$AB$45="Muy Alta",Riesgos!$AD$45="Menor"),CONCATENATE("R7C",Riesgos!$R$45),"")</f>
        <v/>
      </c>
      <c r="V12" s="46" t="str">
        <f>IF(AND(Riesgos!$AB$40="Muy Alta",Riesgos!$AD$40="Moderado"),CONCATENATE("R7C",Riesgos!$R$40),"")</f>
        <v/>
      </c>
      <c r="W12" s="47" t="str">
        <f>IF(AND(Riesgos!$AB$41="Muy Alta",Riesgos!$AD$41="Moderado"),CONCATENATE("R7C",Riesgos!$R$41),"")</f>
        <v/>
      </c>
      <c r="X12" s="47" t="str">
        <f>IF(AND(Riesgos!$AB$42="Muy Alta",Riesgos!$AD$42="Moderado"),CONCATENATE("R7C",Riesgos!$R$42),"")</f>
        <v/>
      </c>
      <c r="Y12" s="47" t="str">
        <f>IF(AND(Riesgos!$AB$43="Muy Alta",Riesgos!$AD$43="Moderado"),CONCATENATE("R7C",Riesgos!$R$43),"")</f>
        <v/>
      </c>
      <c r="Z12" s="47" t="str">
        <f>IF(AND(Riesgos!$AB$44="Muy Alta",Riesgos!$AD$44="Moderado"),CONCATENATE("R7C",Riesgos!$R$44),"")</f>
        <v/>
      </c>
      <c r="AA12" s="48" t="str">
        <f>IF(AND(Riesgos!$AB$45="Muy Alta",Riesgos!$AD$45="Moderado"),CONCATENATE("R7C",Riesgos!$R$45),"")</f>
        <v/>
      </c>
      <c r="AB12" s="46" t="str">
        <f>IF(AND(Riesgos!$AB$40="Muy Alta",Riesgos!$AD$40="Mayor"),CONCATENATE("R7C",Riesgos!$R$40),"")</f>
        <v/>
      </c>
      <c r="AC12" s="47" t="str">
        <f>IF(AND(Riesgos!$AB$41="Muy Alta",Riesgos!$AD$41="Mayor"),CONCATENATE("R7C",Riesgos!$R$41),"")</f>
        <v/>
      </c>
      <c r="AD12" s="47" t="str">
        <f>IF(AND(Riesgos!$AB$42="Muy Alta",Riesgos!$AD$42="Mayor"),CONCATENATE("R7C",Riesgos!$R$42),"")</f>
        <v/>
      </c>
      <c r="AE12" s="47" t="str">
        <f>IF(AND(Riesgos!$AB$43="Muy Alta",Riesgos!$AD$43="Mayor"),CONCATENATE("R7C",Riesgos!$R$43),"")</f>
        <v/>
      </c>
      <c r="AF12" s="47" t="str">
        <f>IF(AND(Riesgos!$AB$44="Muy Alta",Riesgos!$AD$44="Mayor"),CONCATENATE("R7C",Riesgos!$R$44),"")</f>
        <v/>
      </c>
      <c r="AG12" s="48" t="str">
        <f>IF(AND(Riesgos!$AB$45="Muy Alta",Riesgos!$AD$45="Mayor"),CONCATENATE("R7C",Riesgos!$R$45),"")</f>
        <v/>
      </c>
      <c r="AH12" s="49" t="str">
        <f>IF(AND(Riesgos!$AB$40="Muy Alta",Riesgos!$AD$40="Catastrófico"),CONCATENATE("R7C",Riesgos!$R$40),"")</f>
        <v/>
      </c>
      <c r="AI12" s="50" t="str">
        <f>IF(AND(Riesgos!$AB$41="Muy Alta",Riesgos!$AD$41="Catastrófico"),CONCATENATE("R7C",Riesgos!$R$41),"")</f>
        <v/>
      </c>
      <c r="AJ12" s="50" t="str">
        <f>IF(AND(Riesgos!$AB$42="Muy Alta",Riesgos!$AD$42="Catastrófico"),CONCATENATE("R7C",Riesgos!$R$42),"")</f>
        <v/>
      </c>
      <c r="AK12" s="50" t="str">
        <f>IF(AND(Riesgos!$AB$43="Muy Alta",Riesgos!$AD$43="Catastrófico"),CONCATENATE("R7C",Riesgos!$R$43),"")</f>
        <v/>
      </c>
      <c r="AL12" s="50" t="str">
        <f>IF(AND(Riesgos!$AB$44="Muy Alta",Riesgos!$AD$44="Catastrófico"),CONCATENATE("R7C",Riesgos!$R$44),"")</f>
        <v/>
      </c>
      <c r="AM12" s="51" t="str">
        <f>IF(AND(Riesgos!$AB$45="Muy Alta",Riesgos!$AD$45="Catastrófico"),CONCATENATE("R7C",Riesgos!$R$45),"")</f>
        <v/>
      </c>
      <c r="AN12" s="77"/>
      <c r="AO12" s="451"/>
      <c r="AP12" s="452"/>
      <c r="AQ12" s="452"/>
      <c r="AR12" s="452"/>
      <c r="AS12" s="452"/>
      <c r="AT12" s="453"/>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row>
    <row r="13" spans="1:91" ht="15" customHeight="1" x14ac:dyDescent="0.25">
      <c r="A13" s="77"/>
      <c r="B13" s="390"/>
      <c r="C13" s="390"/>
      <c r="D13" s="391"/>
      <c r="E13" s="431"/>
      <c r="F13" s="432"/>
      <c r="G13" s="432"/>
      <c r="H13" s="432"/>
      <c r="I13" s="433"/>
      <c r="J13" s="46" t="str">
        <f>IF(AND(Riesgos!$AB$46="Muy Alta",Riesgos!$AD$46="Leve"),CONCATENATE("R8C",Riesgos!$R$46),"")</f>
        <v/>
      </c>
      <c r="K13" s="47" t="str">
        <f>IF(AND(Riesgos!$AB$47="Muy Alta",Riesgos!$AD$47="Leve"),CONCATENATE("R8C",Riesgos!$R$47),"")</f>
        <v/>
      </c>
      <c r="L13" s="47" t="str">
        <f>IF(AND(Riesgos!$AB$48="Muy Alta",Riesgos!$AD$48="Leve"),CONCATENATE("R8C",Riesgos!$R$48),"")</f>
        <v/>
      </c>
      <c r="M13" s="47" t="str">
        <f>IF(AND(Riesgos!$AB$49="Muy Alta",Riesgos!$AD$49="Leve"),CONCATENATE("R8C",Riesgos!$R$49),"")</f>
        <v/>
      </c>
      <c r="N13" s="47" t="str">
        <f>IF(AND(Riesgos!$AB$50="Muy Alta",Riesgos!$AD$50="Leve"),CONCATENATE("R8C",Riesgos!$R$50),"")</f>
        <v/>
      </c>
      <c r="O13" s="48" t="str">
        <f>IF(AND(Riesgos!$AB$51="Muy Alta",Riesgos!$AD$51="Leve"),CONCATENATE("R8C",Riesgos!$R$51),"")</f>
        <v/>
      </c>
      <c r="P13" s="46" t="str">
        <f>IF(AND(Riesgos!$AB$46="Muy Alta",Riesgos!$AD$46="Menor"),CONCATENATE("R8C",Riesgos!$R$46),"")</f>
        <v/>
      </c>
      <c r="Q13" s="47" t="str">
        <f>IF(AND(Riesgos!$AB$47="Muy Alta",Riesgos!$AD$47="Menor"),CONCATENATE("R8C",Riesgos!$R$47),"")</f>
        <v/>
      </c>
      <c r="R13" s="47" t="str">
        <f>IF(AND(Riesgos!$AB$48="Muy Alta",Riesgos!$AD$48="Menor"),CONCATENATE("R8C",Riesgos!$R$48),"")</f>
        <v/>
      </c>
      <c r="S13" s="47" t="str">
        <f>IF(AND(Riesgos!$AB$49="Muy Alta",Riesgos!$AD$49="Menor"),CONCATENATE("R8C",Riesgos!$R$49),"")</f>
        <v/>
      </c>
      <c r="T13" s="47" t="str">
        <f>IF(AND(Riesgos!$AB$50="Muy Alta",Riesgos!$AD$50="Menor"),CONCATENATE("R8C",Riesgos!$R$50),"")</f>
        <v/>
      </c>
      <c r="U13" s="48" t="str">
        <f>IF(AND(Riesgos!$AB$51="Muy Alta",Riesgos!$AD$51="Menor"),CONCATENATE("R8C",Riesgos!$R$51),"")</f>
        <v/>
      </c>
      <c r="V13" s="46" t="str">
        <f>IF(AND(Riesgos!$AB$46="Muy Alta",Riesgos!$AD$46="Moderado"),CONCATENATE("R8C",Riesgos!$R$46),"")</f>
        <v/>
      </c>
      <c r="W13" s="47" t="str">
        <f>IF(AND(Riesgos!$AB$47="Muy Alta",Riesgos!$AD$47="Moderado"),CONCATENATE("R8C",Riesgos!$R$47),"")</f>
        <v/>
      </c>
      <c r="X13" s="47" t="str">
        <f>IF(AND(Riesgos!$AB$48="Muy Alta",Riesgos!$AD$48="Moderado"),CONCATENATE("R8C",Riesgos!$R$48),"")</f>
        <v/>
      </c>
      <c r="Y13" s="47" t="str">
        <f>IF(AND(Riesgos!$AB$49="Muy Alta",Riesgos!$AD$49="Moderado"),CONCATENATE("R8C",Riesgos!$R$49),"")</f>
        <v/>
      </c>
      <c r="Z13" s="47" t="str">
        <f>IF(AND(Riesgos!$AB$50="Muy Alta",Riesgos!$AD$50="Moderado"),CONCATENATE("R8C",Riesgos!$R$50),"")</f>
        <v/>
      </c>
      <c r="AA13" s="48" t="str">
        <f>IF(AND(Riesgos!$AB$51="Muy Alta",Riesgos!$AD$51="Moderado"),CONCATENATE("R8C",Riesgos!$R$51),"")</f>
        <v/>
      </c>
      <c r="AB13" s="46" t="str">
        <f>IF(AND(Riesgos!$AB$46="Muy Alta",Riesgos!$AD$46="Mayor"),CONCATENATE("R8C",Riesgos!$R$46),"")</f>
        <v/>
      </c>
      <c r="AC13" s="47" t="str">
        <f>IF(AND(Riesgos!$AB$47="Muy Alta",Riesgos!$AD$47="Mayor"),CONCATENATE("R8C",Riesgos!$R$47),"")</f>
        <v/>
      </c>
      <c r="AD13" s="47" t="str">
        <f>IF(AND(Riesgos!$AB$48="Muy Alta",Riesgos!$AD$48="Mayor"),CONCATENATE("R8C",Riesgos!$R$48),"")</f>
        <v/>
      </c>
      <c r="AE13" s="47" t="str">
        <f>IF(AND(Riesgos!$AB$49="Muy Alta",Riesgos!$AD$49="Mayor"),CONCATENATE("R8C",Riesgos!$R$49),"")</f>
        <v/>
      </c>
      <c r="AF13" s="47" t="str">
        <f>IF(AND(Riesgos!$AB$50="Muy Alta",Riesgos!$AD$50="Mayor"),CONCATENATE("R8C",Riesgos!$R$50),"")</f>
        <v/>
      </c>
      <c r="AG13" s="48" t="str">
        <f>IF(AND(Riesgos!$AB$51="Muy Alta",Riesgos!$AD$51="Mayor"),CONCATENATE("R8C",Riesgos!$R$51),"")</f>
        <v/>
      </c>
      <c r="AH13" s="49" t="str">
        <f>IF(AND(Riesgos!$AB$46="Muy Alta",Riesgos!$AD$46="Catastrófico"),CONCATENATE("R8C",Riesgos!$R$46),"")</f>
        <v/>
      </c>
      <c r="AI13" s="50" t="str">
        <f>IF(AND(Riesgos!$AB$47="Muy Alta",Riesgos!$AD$47="Catastrófico"),CONCATENATE("R8C",Riesgos!$R$47),"")</f>
        <v/>
      </c>
      <c r="AJ13" s="50" t="str">
        <f>IF(AND(Riesgos!$AB$48="Muy Alta",Riesgos!$AD$48="Catastrófico"),CONCATENATE("R8C",Riesgos!$R$48),"")</f>
        <v/>
      </c>
      <c r="AK13" s="50" t="str">
        <f>IF(AND(Riesgos!$AB$49="Muy Alta",Riesgos!$AD$49="Catastrófico"),CONCATENATE("R8C",Riesgos!$R$49),"")</f>
        <v/>
      </c>
      <c r="AL13" s="50" t="str">
        <f>IF(AND(Riesgos!$AB$50="Muy Alta",Riesgos!$AD$50="Catastrófico"),CONCATENATE("R8C",Riesgos!$R$50),"")</f>
        <v/>
      </c>
      <c r="AM13" s="51" t="str">
        <f>IF(AND(Riesgos!$AB$51="Muy Alta",Riesgos!$AD$51="Catastrófico"),CONCATENATE("R8C",Riesgos!$R$51),"")</f>
        <v/>
      </c>
      <c r="AN13" s="77"/>
      <c r="AO13" s="451"/>
      <c r="AP13" s="452"/>
      <c r="AQ13" s="452"/>
      <c r="AR13" s="452"/>
      <c r="AS13" s="452"/>
      <c r="AT13" s="453"/>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row>
    <row r="14" spans="1:91" ht="15" customHeight="1" x14ac:dyDescent="0.25">
      <c r="A14" s="77"/>
      <c r="B14" s="390"/>
      <c r="C14" s="390"/>
      <c r="D14" s="391"/>
      <c r="E14" s="431"/>
      <c r="F14" s="432"/>
      <c r="G14" s="432"/>
      <c r="H14" s="432"/>
      <c r="I14" s="433"/>
      <c r="J14" s="46" t="str">
        <f>IF(AND(Riesgos!$AB$52="Muy Alta",Riesgos!$AD$52="Leve"),CONCATENATE("R9C",Riesgos!$R$52),"")</f>
        <v/>
      </c>
      <c r="K14" s="47" t="str">
        <f>IF(AND(Riesgos!$AB$53="Muy Alta",Riesgos!$AD$53="Leve"),CONCATENATE("R9C",Riesgos!$R$53),"")</f>
        <v/>
      </c>
      <c r="L14" s="47" t="str">
        <f>IF(AND(Riesgos!$AB$54="Muy Alta",Riesgos!$AD$54="Leve"),CONCATENATE("R9C",Riesgos!$R$54),"")</f>
        <v/>
      </c>
      <c r="M14" s="47" t="str">
        <f>IF(AND(Riesgos!$AB$55="Muy Alta",Riesgos!$AD$55="Leve"),CONCATENATE("R9C",Riesgos!$R$55),"")</f>
        <v/>
      </c>
      <c r="N14" s="47" t="str">
        <f>IF(AND(Riesgos!$AB$56="Muy Alta",Riesgos!$AD$56="Leve"),CONCATENATE("R9C",Riesgos!$R$56),"")</f>
        <v/>
      </c>
      <c r="O14" s="48" t="str">
        <f>IF(AND(Riesgos!$AB$57="Muy Alta",Riesgos!$AD$57="Leve"),CONCATENATE("R9C",Riesgos!$R$57),"")</f>
        <v/>
      </c>
      <c r="P14" s="46" t="str">
        <f>IF(AND(Riesgos!$AB$52="Muy Alta",Riesgos!$AD$52="Menor"),CONCATENATE("R9C",Riesgos!$R$52),"")</f>
        <v/>
      </c>
      <c r="Q14" s="47" t="str">
        <f>IF(AND(Riesgos!$AB$53="Muy Alta",Riesgos!$AD$53="Menor"),CONCATENATE("R9C",Riesgos!$R$53),"")</f>
        <v/>
      </c>
      <c r="R14" s="47" t="str">
        <f>IF(AND(Riesgos!$AB$54="Muy Alta",Riesgos!$AD$54="Menor"),CONCATENATE("R9C",Riesgos!$R$54),"")</f>
        <v/>
      </c>
      <c r="S14" s="47" t="str">
        <f>IF(AND(Riesgos!$AB$55="Muy Alta",Riesgos!$AD$55="Menor"),CONCATENATE("R9C",Riesgos!$R$55),"")</f>
        <v/>
      </c>
      <c r="T14" s="47" t="str">
        <f>IF(AND(Riesgos!$AB$56="Muy Alta",Riesgos!$AD$56="Menor"),CONCATENATE("R9C",Riesgos!$R$56),"")</f>
        <v/>
      </c>
      <c r="U14" s="48" t="str">
        <f>IF(AND(Riesgos!$AB$57="Muy Alta",Riesgos!$AD$57="Menor"),CONCATENATE("R9C",Riesgos!$R$57),"")</f>
        <v/>
      </c>
      <c r="V14" s="46" t="str">
        <f>IF(AND(Riesgos!$AB$52="Muy Alta",Riesgos!$AD$52="Moderado"),CONCATENATE("R9C",Riesgos!$R$52),"")</f>
        <v/>
      </c>
      <c r="W14" s="47" t="str">
        <f>IF(AND(Riesgos!$AB$53="Muy Alta",Riesgos!$AD$53="Moderado"),CONCATENATE("R9C",Riesgos!$R$53),"")</f>
        <v/>
      </c>
      <c r="X14" s="47" t="str">
        <f>IF(AND(Riesgos!$AB$54="Muy Alta",Riesgos!$AD$54="Moderado"),CONCATENATE("R9C",Riesgos!$R$54),"")</f>
        <v/>
      </c>
      <c r="Y14" s="47" t="str">
        <f>IF(AND(Riesgos!$AB$55="Muy Alta",Riesgos!$AD$55="Moderado"),CONCATENATE("R9C",Riesgos!$R$55),"")</f>
        <v/>
      </c>
      <c r="Z14" s="47" t="str">
        <f>IF(AND(Riesgos!$AB$56="Muy Alta",Riesgos!$AD$56="Moderado"),CONCATENATE("R9C",Riesgos!$R$56),"")</f>
        <v/>
      </c>
      <c r="AA14" s="48" t="str">
        <f>IF(AND(Riesgos!$AB$57="Muy Alta",Riesgos!$AD$57="Moderado"),CONCATENATE("R9C",Riesgos!$R$57),"")</f>
        <v/>
      </c>
      <c r="AB14" s="46" t="str">
        <f>IF(AND(Riesgos!$AB$52="Muy Alta",Riesgos!$AD$52="Mayor"),CONCATENATE("R9C",Riesgos!$R$52),"")</f>
        <v/>
      </c>
      <c r="AC14" s="47" t="str">
        <f>IF(AND(Riesgos!$AB$53="Muy Alta",Riesgos!$AD$53="Mayor"),CONCATENATE("R9C",Riesgos!$R$53),"")</f>
        <v/>
      </c>
      <c r="AD14" s="47" t="str">
        <f>IF(AND(Riesgos!$AB$54="Muy Alta",Riesgos!$AD$54="Mayor"),CONCATENATE("R9C",Riesgos!$R$54),"")</f>
        <v/>
      </c>
      <c r="AE14" s="47" t="str">
        <f>IF(AND(Riesgos!$AB$55="Muy Alta",Riesgos!$AD$55="Mayor"),CONCATENATE("R9C",Riesgos!$R$55),"")</f>
        <v/>
      </c>
      <c r="AF14" s="47" t="str">
        <f>IF(AND(Riesgos!$AB$56="Muy Alta",Riesgos!$AD$56="Mayor"),CONCATENATE("R9C",Riesgos!$R$56),"")</f>
        <v/>
      </c>
      <c r="AG14" s="48" t="str">
        <f>IF(AND(Riesgos!$AB$57="Muy Alta",Riesgos!$AD$57="Mayor"),CONCATENATE("R9C",Riesgos!$R$57),"")</f>
        <v/>
      </c>
      <c r="AH14" s="49" t="str">
        <f>IF(AND(Riesgos!$AB$52="Muy Alta",Riesgos!$AD$52="Catastrófico"),CONCATENATE("R9C",Riesgos!$R$52),"")</f>
        <v/>
      </c>
      <c r="AI14" s="50" t="str">
        <f>IF(AND(Riesgos!$AB$53="Muy Alta",Riesgos!$AD$53="Catastrófico"),CONCATENATE("R9C",Riesgos!$R$53),"")</f>
        <v/>
      </c>
      <c r="AJ14" s="50" t="str">
        <f>IF(AND(Riesgos!$AB$54="Muy Alta",Riesgos!$AD$54="Catastrófico"),CONCATENATE("R9C",Riesgos!$R$54),"")</f>
        <v/>
      </c>
      <c r="AK14" s="50" t="str">
        <f>IF(AND(Riesgos!$AB$55="Muy Alta",Riesgos!$AD$55="Catastrófico"),CONCATENATE("R9C",Riesgos!$R$55),"")</f>
        <v/>
      </c>
      <c r="AL14" s="50" t="str">
        <f>IF(AND(Riesgos!$AB$56="Muy Alta",Riesgos!$AD$56="Catastrófico"),CONCATENATE("R9C",Riesgos!$R$56),"")</f>
        <v/>
      </c>
      <c r="AM14" s="51" t="str">
        <f>IF(AND(Riesgos!$AB$57="Muy Alta",Riesgos!$AD$57="Catastrófico"),CONCATENATE("R9C",Riesgos!$R$57),"")</f>
        <v/>
      </c>
      <c r="AN14" s="77"/>
      <c r="AO14" s="451"/>
      <c r="AP14" s="452"/>
      <c r="AQ14" s="452"/>
      <c r="AR14" s="452"/>
      <c r="AS14" s="452"/>
      <c r="AT14" s="453"/>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row>
    <row r="15" spans="1:91" ht="15.75" customHeight="1" thickBot="1" x14ac:dyDescent="0.3">
      <c r="A15" s="77"/>
      <c r="B15" s="390"/>
      <c r="C15" s="390"/>
      <c r="D15" s="391"/>
      <c r="E15" s="434"/>
      <c r="F15" s="435"/>
      <c r="G15" s="435"/>
      <c r="H15" s="435"/>
      <c r="I15" s="436"/>
      <c r="J15" s="52" t="e">
        <f>IF(AND(Riesgos!#REF!="Muy Alta",Riesgos!#REF!="Leve"),CONCATENATE("R10C",Riesgos!#REF!),"")</f>
        <v>#REF!</v>
      </c>
      <c r="K15" s="53" t="e">
        <f>IF(AND(Riesgos!#REF!="Muy Alta",Riesgos!#REF!="Leve"),CONCATENATE("R10C",Riesgos!#REF!),"")</f>
        <v>#REF!</v>
      </c>
      <c r="L15" s="53" t="e">
        <f>IF(AND(Riesgos!#REF!="Muy Alta",Riesgos!#REF!="Leve"),CONCATENATE("R10C",Riesgos!#REF!),"")</f>
        <v>#REF!</v>
      </c>
      <c r="M15" s="53" t="e">
        <f>IF(AND(Riesgos!#REF!="Muy Alta",Riesgos!#REF!="Leve"),CONCATENATE("R10C",Riesgos!#REF!),"")</f>
        <v>#REF!</v>
      </c>
      <c r="N15" s="53" t="e">
        <f>IF(AND(Riesgos!#REF!="Muy Alta",Riesgos!#REF!="Leve"),CONCATENATE("R10C",Riesgos!#REF!),"")</f>
        <v>#REF!</v>
      </c>
      <c r="O15" s="54" t="e">
        <f>IF(AND(Riesgos!#REF!="Muy Alta",Riesgos!#REF!="Leve"),CONCATENATE("R10C",Riesgos!#REF!),"")</f>
        <v>#REF!</v>
      </c>
      <c r="P15" s="46" t="e">
        <f>IF(AND(Riesgos!#REF!="Muy Alta",Riesgos!#REF!="Menor"),CONCATENATE("R10C",Riesgos!#REF!),"")</f>
        <v>#REF!</v>
      </c>
      <c r="Q15" s="47" t="e">
        <f>IF(AND(Riesgos!#REF!="Muy Alta",Riesgos!#REF!="Menor"),CONCATENATE("R10C",Riesgos!#REF!),"")</f>
        <v>#REF!</v>
      </c>
      <c r="R15" s="47" t="e">
        <f>IF(AND(Riesgos!#REF!="Muy Alta",Riesgos!#REF!="Menor"),CONCATENATE("R10C",Riesgos!#REF!),"")</f>
        <v>#REF!</v>
      </c>
      <c r="S15" s="47" t="e">
        <f>IF(AND(Riesgos!#REF!="Muy Alta",Riesgos!#REF!="Menor"),CONCATENATE("R10C",Riesgos!#REF!),"")</f>
        <v>#REF!</v>
      </c>
      <c r="T15" s="47" t="e">
        <f>IF(AND(Riesgos!#REF!="Muy Alta",Riesgos!#REF!="Menor"),CONCATENATE("R10C",Riesgos!#REF!),"")</f>
        <v>#REF!</v>
      </c>
      <c r="U15" s="48" t="e">
        <f>IF(AND(Riesgos!#REF!="Muy Alta",Riesgos!#REF!="Menor"),CONCATENATE("R10C",Riesgos!#REF!),"")</f>
        <v>#REF!</v>
      </c>
      <c r="V15" s="52" t="e">
        <f>IF(AND(Riesgos!#REF!="Muy Alta",Riesgos!#REF!="Moderado"),CONCATENATE("R10C",Riesgos!#REF!),"")</f>
        <v>#REF!</v>
      </c>
      <c r="W15" s="53" t="e">
        <f>IF(AND(Riesgos!#REF!="Muy Alta",Riesgos!#REF!="Moderado"),CONCATENATE("R10C",Riesgos!#REF!),"")</f>
        <v>#REF!</v>
      </c>
      <c r="X15" s="53" t="e">
        <f>IF(AND(Riesgos!#REF!="Muy Alta",Riesgos!#REF!="Moderado"),CONCATENATE("R10C",Riesgos!#REF!),"")</f>
        <v>#REF!</v>
      </c>
      <c r="Y15" s="53" t="e">
        <f>IF(AND(Riesgos!#REF!="Muy Alta",Riesgos!#REF!="Moderado"),CONCATENATE("R10C",Riesgos!#REF!),"")</f>
        <v>#REF!</v>
      </c>
      <c r="Z15" s="53" t="e">
        <f>IF(AND(Riesgos!#REF!="Muy Alta",Riesgos!#REF!="Moderado"),CONCATENATE("R10C",Riesgos!#REF!),"")</f>
        <v>#REF!</v>
      </c>
      <c r="AA15" s="54" t="e">
        <f>IF(AND(Riesgos!#REF!="Muy Alta",Riesgos!#REF!="Moderado"),CONCATENATE("R10C",Riesgos!#REF!),"")</f>
        <v>#REF!</v>
      </c>
      <c r="AB15" s="46" t="e">
        <f>IF(AND(Riesgos!#REF!="Muy Alta",Riesgos!#REF!="Mayor"),CONCATENATE("R10C",Riesgos!#REF!),"")</f>
        <v>#REF!</v>
      </c>
      <c r="AC15" s="47" t="e">
        <f>IF(AND(Riesgos!#REF!="Muy Alta",Riesgos!#REF!="Mayor"),CONCATENATE("R10C",Riesgos!#REF!),"")</f>
        <v>#REF!</v>
      </c>
      <c r="AD15" s="47" t="e">
        <f>IF(AND(Riesgos!#REF!="Muy Alta",Riesgos!#REF!="Mayor"),CONCATENATE("R10C",Riesgos!#REF!),"")</f>
        <v>#REF!</v>
      </c>
      <c r="AE15" s="47" t="e">
        <f>IF(AND(Riesgos!#REF!="Muy Alta",Riesgos!#REF!="Mayor"),CONCATENATE("R10C",Riesgos!#REF!),"")</f>
        <v>#REF!</v>
      </c>
      <c r="AF15" s="47" t="e">
        <f>IF(AND(Riesgos!#REF!="Muy Alta",Riesgos!#REF!="Mayor"),CONCATENATE("R10C",Riesgos!#REF!),"")</f>
        <v>#REF!</v>
      </c>
      <c r="AG15" s="48" t="e">
        <f>IF(AND(Riesgos!#REF!="Muy Alta",Riesgos!#REF!="Mayor"),CONCATENATE("R10C",Riesgos!#REF!),"")</f>
        <v>#REF!</v>
      </c>
      <c r="AH15" s="55" t="e">
        <f>IF(AND(Riesgos!#REF!="Muy Alta",Riesgos!#REF!="Catastrófico"),CONCATENATE("R10C",Riesgos!#REF!),"")</f>
        <v>#REF!</v>
      </c>
      <c r="AI15" s="56" t="e">
        <f>IF(AND(Riesgos!#REF!="Muy Alta",Riesgos!#REF!="Catastrófico"),CONCATENATE("R10C",Riesgos!#REF!),"")</f>
        <v>#REF!</v>
      </c>
      <c r="AJ15" s="56" t="e">
        <f>IF(AND(Riesgos!#REF!="Muy Alta",Riesgos!#REF!="Catastrófico"),CONCATENATE("R10C",Riesgos!#REF!),"")</f>
        <v>#REF!</v>
      </c>
      <c r="AK15" s="56" t="e">
        <f>IF(AND(Riesgos!#REF!="Muy Alta",Riesgos!#REF!="Catastrófico"),CONCATENATE("R10C",Riesgos!#REF!),"")</f>
        <v>#REF!</v>
      </c>
      <c r="AL15" s="56" t="e">
        <f>IF(AND(Riesgos!#REF!="Muy Alta",Riesgos!#REF!="Catastrófico"),CONCATENATE("R10C",Riesgos!#REF!),"")</f>
        <v>#REF!</v>
      </c>
      <c r="AM15" s="57" t="e">
        <f>IF(AND(Riesgos!#REF!="Muy Alta",Riesgos!#REF!="Catastrófico"),CONCATENATE("R10C",Riesgos!#REF!),"")</f>
        <v>#REF!</v>
      </c>
      <c r="AN15" s="77"/>
      <c r="AO15" s="454"/>
      <c r="AP15" s="455"/>
      <c r="AQ15" s="455"/>
      <c r="AR15" s="455"/>
      <c r="AS15" s="455"/>
      <c r="AT15" s="456"/>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row>
    <row r="16" spans="1:91" ht="15" customHeight="1" x14ac:dyDescent="0.25">
      <c r="A16" s="77"/>
      <c r="B16" s="390"/>
      <c r="C16" s="390"/>
      <c r="D16" s="391"/>
      <c r="E16" s="428" t="s">
        <v>112</v>
      </c>
      <c r="F16" s="429"/>
      <c r="G16" s="429"/>
      <c r="H16" s="429"/>
      <c r="I16" s="429"/>
      <c r="J16" s="58" t="str">
        <f>IF(AND(Riesgos!$AB$10="Alta",Riesgos!$AD$10="Leve"),CONCATENATE("R1C",Riesgos!$R$10),"")</f>
        <v/>
      </c>
      <c r="K16" s="59" t="str">
        <f>IF(AND(Riesgos!$AB$11="Alta",Riesgos!$AD$11="Leve"),CONCATENATE("R1C",Riesgos!$R$11),"")</f>
        <v/>
      </c>
      <c r="L16" s="59" t="str">
        <f>IF(AND(Riesgos!$AB$12="Alta",Riesgos!$AD$12="Leve"),CONCATENATE("R1C",Riesgos!$R$12),"")</f>
        <v/>
      </c>
      <c r="M16" s="59" t="str">
        <f>IF(AND(Riesgos!$AB$13="Alta",Riesgos!$AD$13="Leve"),CONCATENATE("R1C",Riesgos!$R$13),"")</f>
        <v/>
      </c>
      <c r="N16" s="59" t="str">
        <f>IF(AND(Riesgos!$AB$14="Alta",Riesgos!$AD$14="Leve"),CONCATENATE("R1C",Riesgos!$R$14),"")</f>
        <v/>
      </c>
      <c r="O16" s="60" t="str">
        <f>IF(AND(Riesgos!$AB$15="Alta",Riesgos!$AD$15="Leve"),CONCATENATE("R1C",Riesgos!$R$15),"")</f>
        <v/>
      </c>
      <c r="P16" s="58" t="str">
        <f>IF(AND(Riesgos!$AB$10="Alta",Riesgos!$AD$10="Menor"),CONCATENATE("R1C",Riesgos!$R$10),"")</f>
        <v/>
      </c>
      <c r="Q16" s="59" t="str">
        <f>IF(AND(Riesgos!$AB$11="Alta",Riesgos!$AD$11="Menor"),CONCATENATE("R1C",Riesgos!$R$11),"")</f>
        <v/>
      </c>
      <c r="R16" s="59" t="str">
        <f>IF(AND(Riesgos!$AB$12="Alta",Riesgos!$AD$12="Menor"),CONCATENATE("R1C",Riesgos!$R$12),"")</f>
        <v/>
      </c>
      <c r="S16" s="59" t="str">
        <f>IF(AND(Riesgos!$AB$13="Alta",Riesgos!$AD$13="Menor"),CONCATENATE("R1C",Riesgos!$R$13),"")</f>
        <v/>
      </c>
      <c r="T16" s="59" t="str">
        <f>IF(AND(Riesgos!$AB$14="Alta",Riesgos!$AD$14="Menor"),CONCATENATE("R1C",Riesgos!$R$14),"")</f>
        <v/>
      </c>
      <c r="U16" s="60" t="str">
        <f>IF(AND(Riesgos!$AB$15="Alta",Riesgos!$AD$15="Menor"),CONCATENATE("R1C",Riesgos!$R$15),"")</f>
        <v/>
      </c>
      <c r="V16" s="40" t="str">
        <f>IF(AND(Riesgos!$AB$10="Alta",Riesgos!$AD$10="Moderado"),CONCATENATE("R1C",Riesgos!$R$10),"")</f>
        <v/>
      </c>
      <c r="W16" s="41" t="str">
        <f>IF(AND(Riesgos!$AB$11="Alta",Riesgos!$AD$11="Moderado"),CONCATENATE("R1C",Riesgos!$R$11),"")</f>
        <v/>
      </c>
      <c r="X16" s="41" t="str">
        <f>IF(AND(Riesgos!$AB$12="Alta",Riesgos!$AD$12="Moderado"),CONCATENATE("R1C",Riesgos!$R$12),"")</f>
        <v/>
      </c>
      <c r="Y16" s="41" t="str">
        <f>IF(AND(Riesgos!$AB$13="Alta",Riesgos!$AD$13="Moderado"),CONCATENATE("R1C",Riesgos!$R$13),"")</f>
        <v/>
      </c>
      <c r="Z16" s="41" t="str">
        <f>IF(AND(Riesgos!$AB$14="Alta",Riesgos!$AD$14="Moderado"),CONCATENATE("R1C",Riesgos!$R$14),"")</f>
        <v/>
      </c>
      <c r="AA16" s="42" t="str">
        <f>IF(AND(Riesgos!$AB$15="Alta",Riesgos!$AD$15="Moderado"),CONCATENATE("R1C",Riesgos!$R$15),"")</f>
        <v/>
      </c>
      <c r="AB16" s="40" t="str">
        <f>IF(AND(Riesgos!$AB$10="Alta",Riesgos!$AD$10="Mayor"),CONCATENATE("R1C",Riesgos!$R$10),"")</f>
        <v/>
      </c>
      <c r="AC16" s="41" t="str">
        <f>IF(AND(Riesgos!$AB$11="Alta",Riesgos!$AD$11="Mayor"),CONCATENATE("R1C",Riesgos!$R$11),"")</f>
        <v/>
      </c>
      <c r="AD16" s="41" t="str">
        <f>IF(AND(Riesgos!$AB$12="Alta",Riesgos!$AD$12="Mayor"),CONCATENATE("R1C",Riesgos!$R$12),"")</f>
        <v/>
      </c>
      <c r="AE16" s="41" t="str">
        <f>IF(AND(Riesgos!$AB$13="Alta",Riesgos!$AD$13="Mayor"),CONCATENATE("R1C",Riesgos!$R$13),"")</f>
        <v/>
      </c>
      <c r="AF16" s="41" t="str">
        <f>IF(AND(Riesgos!$AB$14="Alta",Riesgos!$AD$14="Mayor"),CONCATENATE("R1C",Riesgos!$R$14),"")</f>
        <v/>
      </c>
      <c r="AG16" s="42" t="str">
        <f>IF(AND(Riesgos!$AB$15="Alta",Riesgos!$AD$15="Mayor"),CONCATENATE("R1C",Riesgos!$R$15),"")</f>
        <v/>
      </c>
      <c r="AH16" s="43" t="str">
        <f>IF(AND(Riesgos!$AB$10="Alta",Riesgos!$AD$10="Catastrófico"),CONCATENATE("R1C",Riesgos!$R$10),"")</f>
        <v/>
      </c>
      <c r="AI16" s="44" t="str">
        <f>IF(AND(Riesgos!$AB$11="Alta",Riesgos!$AD$11="Catastrófico"),CONCATENATE("R1C",Riesgos!$R$11),"")</f>
        <v/>
      </c>
      <c r="AJ16" s="44" t="str">
        <f>IF(AND(Riesgos!$AB$12="Alta",Riesgos!$AD$12="Catastrófico"),CONCATENATE("R1C",Riesgos!$R$12),"")</f>
        <v/>
      </c>
      <c r="AK16" s="44" t="str">
        <f>IF(AND(Riesgos!$AB$13="Alta",Riesgos!$AD$13="Catastrófico"),CONCATENATE("R1C",Riesgos!$R$13),"")</f>
        <v/>
      </c>
      <c r="AL16" s="44" t="str">
        <f>IF(AND(Riesgos!$AB$14="Alta",Riesgos!$AD$14="Catastrófico"),CONCATENATE("R1C",Riesgos!$R$14),"")</f>
        <v/>
      </c>
      <c r="AM16" s="45" t="str">
        <f>IF(AND(Riesgos!$AB$15="Alta",Riesgos!$AD$15="Catastrófico"),CONCATENATE("R1C",Riesgos!$R$15),"")</f>
        <v/>
      </c>
      <c r="AN16" s="77"/>
      <c r="AO16" s="438" t="s">
        <v>77</v>
      </c>
      <c r="AP16" s="439"/>
      <c r="AQ16" s="439"/>
      <c r="AR16" s="439"/>
      <c r="AS16" s="439"/>
      <c r="AT16" s="440"/>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row>
    <row r="17" spans="1:76" ht="15" customHeight="1" x14ac:dyDescent="0.25">
      <c r="A17" s="77"/>
      <c r="B17" s="390"/>
      <c r="C17" s="390"/>
      <c r="D17" s="391"/>
      <c r="E17" s="447"/>
      <c r="F17" s="432"/>
      <c r="G17" s="432"/>
      <c r="H17" s="432"/>
      <c r="I17" s="432"/>
      <c r="J17" s="61" t="str">
        <f>IF(AND(Riesgos!$AB$16="Alta",Riesgos!$AD$16="Leve"),CONCATENATE("R2C",Riesgos!$R$16),"")</f>
        <v/>
      </c>
      <c r="K17" s="62" t="str">
        <f>IF(AND(Riesgos!$AB$17="Alta",Riesgos!$AD$17="Leve"),CONCATENATE("R2C",Riesgos!$R$17),"")</f>
        <v/>
      </c>
      <c r="L17" s="62" t="str">
        <f>IF(AND(Riesgos!$AB$18="Alta",Riesgos!$AD$18="Leve"),CONCATENATE("R2C",Riesgos!$R$18),"")</f>
        <v/>
      </c>
      <c r="M17" s="62" t="str">
        <f>IF(AND(Riesgos!$AB$19="Alta",Riesgos!$AD$19="Leve"),CONCATENATE("R2C",Riesgos!$R$19),"")</f>
        <v/>
      </c>
      <c r="N17" s="62" t="str">
        <f>IF(AND(Riesgos!$AB$20="Alta",Riesgos!$AD$20="Leve"),CONCATENATE("R2C",Riesgos!$R$20),"")</f>
        <v/>
      </c>
      <c r="O17" s="63" t="str">
        <f>IF(AND(Riesgos!$AB$21="Alta",Riesgos!$AD$21="Leve"),CONCATENATE("R2C",Riesgos!$R$21),"")</f>
        <v/>
      </c>
      <c r="P17" s="61" t="str">
        <f>IF(AND(Riesgos!$AB$16="Alta",Riesgos!$AD$16="Menor"),CONCATENATE("R2C",Riesgos!$R$16),"")</f>
        <v/>
      </c>
      <c r="Q17" s="62" t="str">
        <f>IF(AND(Riesgos!$AB$17="Alta",Riesgos!$AD$17="Menor"),CONCATENATE("R2C",Riesgos!$R$17),"")</f>
        <v/>
      </c>
      <c r="R17" s="62" t="str">
        <f>IF(AND(Riesgos!$AB$18="Alta",Riesgos!$AD$18="Menor"),CONCATENATE("R2C",Riesgos!$R$18),"")</f>
        <v/>
      </c>
      <c r="S17" s="62" t="str">
        <f>IF(AND(Riesgos!$AB$19="Alta",Riesgos!$AD$19="Menor"),CONCATENATE("R2C",Riesgos!$R$19),"")</f>
        <v/>
      </c>
      <c r="T17" s="62" t="str">
        <f>IF(AND(Riesgos!$AB$20="Alta",Riesgos!$AD$20="Menor"),CONCATENATE("R2C",Riesgos!$R$20),"")</f>
        <v/>
      </c>
      <c r="U17" s="63" t="str">
        <f>IF(AND(Riesgos!$AB$21="Alta",Riesgos!$AD$21="Menor"),CONCATENATE("R2C",Riesgos!$R$21),"")</f>
        <v/>
      </c>
      <c r="V17" s="46" t="str">
        <f>IF(AND(Riesgos!$AB$16="Alta",Riesgos!$AD$16="Moderado"),CONCATENATE("R2C",Riesgos!$R$16),"")</f>
        <v/>
      </c>
      <c r="W17" s="47" t="str">
        <f>IF(AND(Riesgos!$AB$17="Alta",Riesgos!$AD$17="Moderado"),CONCATENATE("R2C",Riesgos!$R$17),"")</f>
        <v/>
      </c>
      <c r="X17" s="47" t="str">
        <f>IF(AND(Riesgos!$AB$18="Alta",Riesgos!$AD$18="Moderado"),CONCATENATE("R2C",Riesgos!$R$18),"")</f>
        <v/>
      </c>
      <c r="Y17" s="47" t="str">
        <f>IF(AND(Riesgos!$AB$19="Alta",Riesgos!$AD$19="Moderado"),CONCATENATE("R2C",Riesgos!$R$19),"")</f>
        <v/>
      </c>
      <c r="Z17" s="47" t="str">
        <f>IF(AND(Riesgos!$AB$20="Alta",Riesgos!$AD$20="Moderado"),CONCATENATE("R2C",Riesgos!$R$20),"")</f>
        <v/>
      </c>
      <c r="AA17" s="48" t="str">
        <f>IF(AND(Riesgos!$AB$21="Alta",Riesgos!$AD$21="Moderado"),CONCATENATE("R2C",Riesgos!$R$21),"")</f>
        <v/>
      </c>
      <c r="AB17" s="46" t="str">
        <f>IF(AND(Riesgos!$AB$16="Alta",Riesgos!$AD$16="Mayor"),CONCATENATE("R2C",Riesgos!$R$16),"")</f>
        <v/>
      </c>
      <c r="AC17" s="47" t="str">
        <f>IF(AND(Riesgos!$AB$17="Alta",Riesgos!$AD$17="Mayor"),CONCATENATE("R2C",Riesgos!$R$17),"")</f>
        <v/>
      </c>
      <c r="AD17" s="47" t="str">
        <f>IF(AND(Riesgos!$AB$18="Alta",Riesgos!$AD$18="Mayor"),CONCATENATE("R2C",Riesgos!$R$18),"")</f>
        <v/>
      </c>
      <c r="AE17" s="47" t="str">
        <f>IF(AND(Riesgos!$AB$19="Alta",Riesgos!$AD$19="Mayor"),CONCATENATE("R2C",Riesgos!$R$19),"")</f>
        <v/>
      </c>
      <c r="AF17" s="47" t="str">
        <f>IF(AND(Riesgos!$AB$20="Alta",Riesgos!$AD$20="Mayor"),CONCATENATE("R2C",Riesgos!$R$20),"")</f>
        <v/>
      </c>
      <c r="AG17" s="48" t="str">
        <f>IF(AND(Riesgos!$AB$21="Alta",Riesgos!$AD$21="Mayor"),CONCATENATE("R2C",Riesgos!$R$21),"")</f>
        <v/>
      </c>
      <c r="AH17" s="49" t="str">
        <f>IF(AND(Riesgos!$AB$16="Alta",Riesgos!$AD$16="Catastrófico"),CONCATENATE("R2C",Riesgos!$R$16),"")</f>
        <v/>
      </c>
      <c r="AI17" s="50" t="str">
        <f>IF(AND(Riesgos!$AB$17="Alta",Riesgos!$AD$17="Catastrófico"),CONCATENATE("R2C",Riesgos!$R$17),"")</f>
        <v/>
      </c>
      <c r="AJ17" s="50" t="str">
        <f>IF(AND(Riesgos!$AB$18="Alta",Riesgos!$AD$18="Catastrófico"),CONCATENATE("R2C",Riesgos!$R$18),"")</f>
        <v/>
      </c>
      <c r="AK17" s="50" t="str">
        <f>IF(AND(Riesgos!$AB$19="Alta",Riesgos!$AD$19="Catastrófico"),CONCATENATE("R2C",Riesgos!$R$19),"")</f>
        <v/>
      </c>
      <c r="AL17" s="50" t="str">
        <f>IF(AND(Riesgos!$AB$20="Alta",Riesgos!$AD$20="Catastrófico"),CONCATENATE("R2C",Riesgos!$R$20),"")</f>
        <v/>
      </c>
      <c r="AM17" s="51" t="str">
        <f>IF(AND(Riesgos!$AB$21="Alta",Riesgos!$AD$21="Catastrófico"),CONCATENATE("R2C",Riesgos!$R$21),"")</f>
        <v/>
      </c>
      <c r="AN17" s="77"/>
      <c r="AO17" s="441"/>
      <c r="AP17" s="442"/>
      <c r="AQ17" s="442"/>
      <c r="AR17" s="442"/>
      <c r="AS17" s="442"/>
      <c r="AT17" s="443"/>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row>
    <row r="18" spans="1:76" ht="15" customHeight="1" x14ac:dyDescent="0.25">
      <c r="A18" s="77"/>
      <c r="B18" s="390"/>
      <c r="C18" s="390"/>
      <c r="D18" s="391"/>
      <c r="E18" s="431"/>
      <c r="F18" s="432"/>
      <c r="G18" s="432"/>
      <c r="H18" s="432"/>
      <c r="I18" s="432"/>
      <c r="J18" s="61" t="e">
        <f>IF(AND(Riesgos!#REF!="Alta",Riesgos!#REF!="Leve"),CONCATENATE("R3C",Riesgos!#REF!),"")</f>
        <v>#REF!</v>
      </c>
      <c r="K18" s="62" t="e">
        <f>IF(AND(Riesgos!#REF!="Alta",Riesgos!#REF!="Leve"),CONCATENATE("R3C",Riesgos!#REF!),"")</f>
        <v>#REF!</v>
      </c>
      <c r="L18" s="62" t="e">
        <f>IF(AND(Riesgos!#REF!="Alta",Riesgos!#REF!="Leve"),CONCATENATE("R3C",Riesgos!#REF!),"")</f>
        <v>#REF!</v>
      </c>
      <c r="M18" s="62" t="e">
        <f>IF(AND(Riesgos!#REF!="Alta",Riesgos!#REF!="Leve"),CONCATENATE("R3C",Riesgos!#REF!),"")</f>
        <v>#REF!</v>
      </c>
      <c r="N18" s="62" t="e">
        <f>IF(AND(Riesgos!#REF!="Alta",Riesgos!#REF!="Leve"),CONCATENATE("R3C",Riesgos!#REF!),"")</f>
        <v>#REF!</v>
      </c>
      <c r="O18" s="63" t="e">
        <f>IF(AND(Riesgos!#REF!="Alta",Riesgos!#REF!="Leve"),CONCATENATE("R3C",Riesgos!#REF!),"")</f>
        <v>#REF!</v>
      </c>
      <c r="P18" s="61" t="e">
        <f>IF(AND(Riesgos!#REF!="Alta",Riesgos!#REF!="Menor"),CONCATENATE("R3C",Riesgos!#REF!),"")</f>
        <v>#REF!</v>
      </c>
      <c r="Q18" s="62" t="e">
        <f>IF(AND(Riesgos!#REF!="Alta",Riesgos!#REF!="Menor"),CONCATENATE("R3C",Riesgos!#REF!),"")</f>
        <v>#REF!</v>
      </c>
      <c r="R18" s="62" t="e">
        <f>IF(AND(Riesgos!#REF!="Alta",Riesgos!#REF!="Menor"),CONCATENATE("R3C",Riesgos!#REF!),"")</f>
        <v>#REF!</v>
      </c>
      <c r="S18" s="62" t="e">
        <f>IF(AND(Riesgos!#REF!="Alta",Riesgos!#REF!="Menor"),CONCATENATE("R3C",Riesgos!#REF!),"")</f>
        <v>#REF!</v>
      </c>
      <c r="T18" s="62" t="e">
        <f>IF(AND(Riesgos!#REF!="Alta",Riesgos!#REF!="Menor"),CONCATENATE("R3C",Riesgos!#REF!),"")</f>
        <v>#REF!</v>
      </c>
      <c r="U18" s="63" t="e">
        <f>IF(AND(Riesgos!#REF!="Alta",Riesgos!#REF!="Menor"),CONCATENATE("R3C",Riesgos!#REF!),"")</f>
        <v>#REF!</v>
      </c>
      <c r="V18" s="46" t="e">
        <f>IF(AND(Riesgos!#REF!="Alta",Riesgos!#REF!="Moderado"),CONCATENATE("R3C",Riesgos!#REF!),"")</f>
        <v>#REF!</v>
      </c>
      <c r="W18" s="47" t="e">
        <f>IF(AND(Riesgos!#REF!="Alta",Riesgos!#REF!="Moderado"),CONCATENATE("R3C",Riesgos!#REF!),"")</f>
        <v>#REF!</v>
      </c>
      <c r="X18" s="47" t="e">
        <f>IF(AND(Riesgos!#REF!="Alta",Riesgos!#REF!="Moderado"),CONCATENATE("R3C",Riesgos!#REF!),"")</f>
        <v>#REF!</v>
      </c>
      <c r="Y18" s="47" t="e">
        <f>IF(AND(Riesgos!#REF!="Alta",Riesgos!#REF!="Moderado"),CONCATENATE("R3C",Riesgos!#REF!),"")</f>
        <v>#REF!</v>
      </c>
      <c r="Z18" s="47" t="e">
        <f>IF(AND(Riesgos!#REF!="Alta",Riesgos!#REF!="Moderado"),CONCATENATE("R3C",Riesgos!#REF!),"")</f>
        <v>#REF!</v>
      </c>
      <c r="AA18" s="48" t="e">
        <f>IF(AND(Riesgos!#REF!="Alta",Riesgos!#REF!="Moderado"),CONCATENATE("R3C",Riesgos!#REF!),"")</f>
        <v>#REF!</v>
      </c>
      <c r="AB18" s="46" t="e">
        <f>IF(AND(Riesgos!#REF!="Alta",Riesgos!#REF!="Mayor"),CONCATENATE("R3C",Riesgos!#REF!),"")</f>
        <v>#REF!</v>
      </c>
      <c r="AC18" s="47" t="e">
        <f>IF(AND(Riesgos!#REF!="Alta",Riesgos!#REF!="Mayor"),CONCATENATE("R3C",Riesgos!#REF!),"")</f>
        <v>#REF!</v>
      </c>
      <c r="AD18" s="47" t="e">
        <f>IF(AND(Riesgos!#REF!="Alta",Riesgos!#REF!="Mayor"),CONCATENATE("R3C",Riesgos!#REF!),"")</f>
        <v>#REF!</v>
      </c>
      <c r="AE18" s="47" t="e">
        <f>IF(AND(Riesgos!#REF!="Alta",Riesgos!#REF!="Mayor"),CONCATENATE("R3C",Riesgos!#REF!),"")</f>
        <v>#REF!</v>
      </c>
      <c r="AF18" s="47" t="e">
        <f>IF(AND(Riesgos!#REF!="Alta",Riesgos!#REF!="Mayor"),CONCATENATE("R3C",Riesgos!#REF!),"")</f>
        <v>#REF!</v>
      </c>
      <c r="AG18" s="48" t="e">
        <f>IF(AND(Riesgos!#REF!="Alta",Riesgos!#REF!="Mayor"),CONCATENATE("R3C",Riesgos!#REF!),"")</f>
        <v>#REF!</v>
      </c>
      <c r="AH18" s="49" t="e">
        <f>IF(AND(Riesgos!#REF!="Alta",Riesgos!#REF!="Catastrófico"),CONCATENATE("R3C",Riesgos!#REF!),"")</f>
        <v>#REF!</v>
      </c>
      <c r="AI18" s="50" t="e">
        <f>IF(AND(Riesgos!#REF!="Alta",Riesgos!#REF!="Catastrófico"),CONCATENATE("R3C",Riesgos!#REF!),"")</f>
        <v>#REF!</v>
      </c>
      <c r="AJ18" s="50" t="e">
        <f>IF(AND(Riesgos!#REF!="Alta",Riesgos!#REF!="Catastrófico"),CONCATENATE("R3C",Riesgos!#REF!),"")</f>
        <v>#REF!</v>
      </c>
      <c r="AK18" s="50" t="e">
        <f>IF(AND(Riesgos!#REF!="Alta",Riesgos!#REF!="Catastrófico"),CONCATENATE("R3C",Riesgos!#REF!),"")</f>
        <v>#REF!</v>
      </c>
      <c r="AL18" s="50" t="e">
        <f>IF(AND(Riesgos!#REF!="Alta",Riesgos!#REF!="Catastrófico"),CONCATENATE("R3C",Riesgos!#REF!),"")</f>
        <v>#REF!</v>
      </c>
      <c r="AM18" s="51" t="e">
        <f>IF(AND(Riesgos!#REF!="Alta",Riesgos!#REF!="Catastrófico"),CONCATENATE("R3C",Riesgos!#REF!),"")</f>
        <v>#REF!</v>
      </c>
      <c r="AN18" s="77"/>
      <c r="AO18" s="441"/>
      <c r="AP18" s="442"/>
      <c r="AQ18" s="442"/>
      <c r="AR18" s="442"/>
      <c r="AS18" s="442"/>
      <c r="AT18" s="443"/>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row>
    <row r="19" spans="1:76" ht="15" customHeight="1" x14ac:dyDescent="0.25">
      <c r="A19" s="77"/>
      <c r="B19" s="390"/>
      <c r="C19" s="390"/>
      <c r="D19" s="391"/>
      <c r="E19" s="431"/>
      <c r="F19" s="432"/>
      <c r="G19" s="432"/>
      <c r="H19" s="432"/>
      <c r="I19" s="432"/>
      <c r="J19" s="61" t="str">
        <f>IF(AND(Riesgos!$AB$22="Alta",Riesgos!$AD$22="Leve"),CONCATENATE("R4C",Riesgos!$R$22),"")</f>
        <v/>
      </c>
      <c r="K19" s="62" t="str">
        <f>IF(AND(Riesgos!$AB$23="Alta",Riesgos!$AD$23="Leve"),CONCATENATE("R4C",Riesgos!$R$23),"")</f>
        <v/>
      </c>
      <c r="L19" s="62" t="str">
        <f>IF(AND(Riesgos!$AB$24="Alta",Riesgos!$AD$24="Leve"),CONCATENATE("R4C",Riesgos!$R$24),"")</f>
        <v/>
      </c>
      <c r="M19" s="62" t="str">
        <f>IF(AND(Riesgos!$AB$25="Alta",Riesgos!$AD$25="Leve"),CONCATENATE("R4C",Riesgos!$R$25),"")</f>
        <v/>
      </c>
      <c r="N19" s="62" t="str">
        <f>IF(AND(Riesgos!$AB$26="Alta",Riesgos!$AD$26="Leve"),CONCATENATE("R4C",Riesgos!$R$26),"")</f>
        <v/>
      </c>
      <c r="O19" s="63" t="str">
        <f>IF(AND(Riesgos!$AB$27="Alta",Riesgos!$AD$27="Leve"),CONCATENATE("R4C",Riesgos!$R$27),"")</f>
        <v/>
      </c>
      <c r="P19" s="61" t="str">
        <f>IF(AND(Riesgos!$AB$22="Alta",Riesgos!$AD$22="Menor"),CONCATENATE("R4C",Riesgos!$R$22),"")</f>
        <v/>
      </c>
      <c r="Q19" s="62" t="str">
        <f>IF(AND(Riesgos!$AB$23="Alta",Riesgos!$AD$23="Menor"),CONCATENATE("R4C",Riesgos!$R$23),"")</f>
        <v/>
      </c>
      <c r="R19" s="62" t="str">
        <f>IF(AND(Riesgos!$AB$24="Alta",Riesgos!$AD$24="Menor"),CONCATENATE("R4C",Riesgos!$R$24),"")</f>
        <v/>
      </c>
      <c r="S19" s="62" t="str">
        <f>IF(AND(Riesgos!$AB$25="Alta",Riesgos!$AD$25="Menor"),CONCATENATE("R4C",Riesgos!$R$25),"")</f>
        <v/>
      </c>
      <c r="T19" s="62" t="str">
        <f>IF(AND(Riesgos!$AB$26="Alta",Riesgos!$AD$26="Menor"),CONCATENATE("R4C",Riesgos!$R$26),"")</f>
        <v/>
      </c>
      <c r="U19" s="63" t="str">
        <f>IF(AND(Riesgos!$AB$27="Alta",Riesgos!$AD$27="Menor"),CONCATENATE("R4C",Riesgos!$R$27),"")</f>
        <v/>
      </c>
      <c r="V19" s="46" t="str">
        <f>IF(AND(Riesgos!$AB$22="Alta",Riesgos!$AD$22="Moderado"),CONCATENATE("R4C",Riesgos!$R$22),"")</f>
        <v/>
      </c>
      <c r="W19" s="47" t="str">
        <f>IF(AND(Riesgos!$AB$23="Alta",Riesgos!$AD$23="Moderado"),CONCATENATE("R4C",Riesgos!$R$23),"")</f>
        <v/>
      </c>
      <c r="X19" s="47" t="str">
        <f>IF(AND(Riesgos!$AB$24="Alta",Riesgos!$AD$24="Moderado"),CONCATENATE("R4C",Riesgos!$R$24),"")</f>
        <v/>
      </c>
      <c r="Y19" s="47" t="str">
        <f>IF(AND(Riesgos!$AB$25="Alta",Riesgos!$AD$25="Moderado"),CONCATENATE("R4C",Riesgos!$R$25),"")</f>
        <v/>
      </c>
      <c r="Z19" s="47" t="str">
        <f>IF(AND(Riesgos!$AB$26="Alta",Riesgos!$AD$26="Moderado"),CONCATENATE("R4C",Riesgos!$R$26),"")</f>
        <v/>
      </c>
      <c r="AA19" s="48" t="str">
        <f>IF(AND(Riesgos!$AB$27="Alta",Riesgos!$AD$27="Moderado"),CONCATENATE("R4C",Riesgos!$R$27),"")</f>
        <v/>
      </c>
      <c r="AB19" s="46" t="str">
        <f>IF(AND(Riesgos!$AB$22="Alta",Riesgos!$AD$22="Mayor"),CONCATENATE("R4C",Riesgos!$R$22),"")</f>
        <v/>
      </c>
      <c r="AC19" s="47" t="str">
        <f>IF(AND(Riesgos!$AB$23="Alta",Riesgos!$AD$23="Mayor"),CONCATENATE("R4C",Riesgos!$R$23),"")</f>
        <v/>
      </c>
      <c r="AD19" s="47" t="str">
        <f>IF(AND(Riesgos!$AB$24="Alta",Riesgos!$AD$24="Mayor"),CONCATENATE("R4C",Riesgos!$R$24),"")</f>
        <v/>
      </c>
      <c r="AE19" s="47" t="str">
        <f>IF(AND(Riesgos!$AB$25="Alta",Riesgos!$AD$25="Mayor"),CONCATENATE("R4C",Riesgos!$R$25),"")</f>
        <v/>
      </c>
      <c r="AF19" s="47" t="str">
        <f>IF(AND(Riesgos!$AB$26="Alta",Riesgos!$AD$26="Mayor"),CONCATENATE("R4C",Riesgos!$R$26),"")</f>
        <v/>
      </c>
      <c r="AG19" s="48" t="str">
        <f>IF(AND(Riesgos!$AB$27="Alta",Riesgos!$AD$27="Mayor"),CONCATENATE("R4C",Riesgos!$R$27),"")</f>
        <v/>
      </c>
      <c r="AH19" s="49" t="str">
        <f>IF(AND(Riesgos!$AB$22="Alta",Riesgos!$AD$22="Catastrófico"),CONCATENATE("R4C",Riesgos!$R$22),"")</f>
        <v/>
      </c>
      <c r="AI19" s="50" t="str">
        <f>IF(AND(Riesgos!$AB$23="Alta",Riesgos!$AD$23="Catastrófico"),CONCATENATE("R4C",Riesgos!$R$23),"")</f>
        <v/>
      </c>
      <c r="AJ19" s="50" t="str">
        <f>IF(AND(Riesgos!$AB$24="Alta",Riesgos!$AD$24="Catastrófico"),CONCATENATE("R4C",Riesgos!$R$24),"")</f>
        <v/>
      </c>
      <c r="AK19" s="50" t="str">
        <f>IF(AND(Riesgos!$AB$25="Alta",Riesgos!$AD$25="Catastrófico"),CONCATENATE("R4C",Riesgos!$R$25),"")</f>
        <v/>
      </c>
      <c r="AL19" s="50" t="str">
        <f>IF(AND(Riesgos!$AB$26="Alta",Riesgos!$AD$26="Catastrófico"),CONCATENATE("R4C",Riesgos!$R$26),"")</f>
        <v/>
      </c>
      <c r="AM19" s="51" t="str">
        <f>IF(AND(Riesgos!$AB$27="Alta",Riesgos!$AD$27="Catastrófico"),CONCATENATE("R4C",Riesgos!$R$27),"")</f>
        <v/>
      </c>
      <c r="AN19" s="77"/>
      <c r="AO19" s="441"/>
      <c r="AP19" s="442"/>
      <c r="AQ19" s="442"/>
      <c r="AR19" s="442"/>
      <c r="AS19" s="442"/>
      <c r="AT19" s="443"/>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row>
    <row r="20" spans="1:76" ht="15" customHeight="1" x14ac:dyDescent="0.25">
      <c r="A20" s="77"/>
      <c r="B20" s="390"/>
      <c r="C20" s="390"/>
      <c r="D20" s="391"/>
      <c r="E20" s="431"/>
      <c r="F20" s="432"/>
      <c r="G20" s="432"/>
      <c r="H20" s="432"/>
      <c r="I20" s="432"/>
      <c r="J20" s="61" t="str">
        <f>IF(AND(Riesgos!$AB$28="Alta",Riesgos!$AD$28="Leve"),CONCATENATE("R5C",Riesgos!$R$28),"")</f>
        <v/>
      </c>
      <c r="K20" s="62" t="str">
        <f>IF(AND(Riesgos!$AB$29="Alta",Riesgos!$AD$29="Leve"),CONCATENATE("R5C",Riesgos!$R$29),"")</f>
        <v/>
      </c>
      <c r="L20" s="62" t="str">
        <f>IF(AND(Riesgos!$AB$30="Alta",Riesgos!$AD$30="Leve"),CONCATENATE("R5C",Riesgos!$R$30),"")</f>
        <v/>
      </c>
      <c r="M20" s="62" t="str">
        <f>IF(AND(Riesgos!$AB$31="Alta",Riesgos!$AD$31="Leve"),CONCATENATE("R5C",Riesgos!$R$31),"")</f>
        <v/>
      </c>
      <c r="N20" s="62" t="str">
        <f>IF(AND(Riesgos!$AB$32="Alta",Riesgos!$AD$32="Leve"),CONCATENATE("R5C",Riesgos!$R$32),"")</f>
        <v/>
      </c>
      <c r="O20" s="63" t="str">
        <f>IF(AND(Riesgos!$AB$33="Alta",Riesgos!$AD$33="Leve"),CONCATENATE("R5C",Riesgos!$R$33),"")</f>
        <v/>
      </c>
      <c r="P20" s="61" t="str">
        <f>IF(AND(Riesgos!$AB$28="Alta",Riesgos!$AD$28="Menor"),CONCATENATE("R5C",Riesgos!$R$28),"")</f>
        <v/>
      </c>
      <c r="Q20" s="62" t="str">
        <f>IF(AND(Riesgos!$AB$29="Alta",Riesgos!$AD$29="Menor"),CONCATENATE("R5C",Riesgos!$R$29),"")</f>
        <v/>
      </c>
      <c r="R20" s="62" t="str">
        <f>IF(AND(Riesgos!$AB$30="Alta",Riesgos!$AD$30="Menor"),CONCATENATE("R5C",Riesgos!$R$30),"")</f>
        <v/>
      </c>
      <c r="S20" s="62" t="str">
        <f>IF(AND(Riesgos!$AB$31="Alta",Riesgos!$AD$31="Menor"),CONCATENATE("R5C",Riesgos!$R$31),"")</f>
        <v/>
      </c>
      <c r="T20" s="62" t="str">
        <f>IF(AND(Riesgos!$AB$32="Alta",Riesgos!$AD$32="Menor"),CONCATENATE("R5C",Riesgos!$R$32),"")</f>
        <v/>
      </c>
      <c r="U20" s="63" t="str">
        <f>IF(AND(Riesgos!$AB$33="Alta",Riesgos!$AD$33="Menor"),CONCATENATE("R5C",Riesgos!$R$33),"")</f>
        <v/>
      </c>
      <c r="V20" s="46" t="str">
        <f>IF(AND(Riesgos!$AB$28="Alta",Riesgos!$AD$28="Moderado"),CONCATENATE("R5C",Riesgos!$R$28),"")</f>
        <v/>
      </c>
      <c r="W20" s="47" t="str">
        <f>IF(AND(Riesgos!$AB$29="Alta",Riesgos!$AD$29="Moderado"),CONCATENATE("R5C",Riesgos!$R$29),"")</f>
        <v/>
      </c>
      <c r="X20" s="47" t="str">
        <f>IF(AND(Riesgos!$AB$30="Alta",Riesgos!$AD$30="Moderado"),CONCATENATE("R5C",Riesgos!$R$30),"")</f>
        <v/>
      </c>
      <c r="Y20" s="47" t="str">
        <f>IF(AND(Riesgos!$AB$31="Alta",Riesgos!$AD$31="Moderado"),CONCATENATE("R5C",Riesgos!$R$31),"")</f>
        <v/>
      </c>
      <c r="Z20" s="47" t="str">
        <f>IF(AND(Riesgos!$AB$32="Alta",Riesgos!$AD$32="Moderado"),CONCATENATE("R5C",Riesgos!$R$32),"")</f>
        <v/>
      </c>
      <c r="AA20" s="48" t="str">
        <f>IF(AND(Riesgos!$AB$33="Alta",Riesgos!$AD$33="Moderado"),CONCATENATE("R5C",Riesgos!$R$33),"")</f>
        <v/>
      </c>
      <c r="AB20" s="46" t="str">
        <f>IF(AND(Riesgos!$AB$28="Alta",Riesgos!$AD$28="Mayor"),CONCATENATE("R5C",Riesgos!$R$28),"")</f>
        <v/>
      </c>
      <c r="AC20" s="47" t="str">
        <f>IF(AND(Riesgos!$AB$29="Alta",Riesgos!$AD$29="Mayor"),CONCATENATE("R5C",Riesgos!$R$29),"")</f>
        <v/>
      </c>
      <c r="AD20" s="47" t="str">
        <f>IF(AND(Riesgos!$AB$30="Alta",Riesgos!$AD$30="Mayor"),CONCATENATE("R5C",Riesgos!$R$30),"")</f>
        <v/>
      </c>
      <c r="AE20" s="47" t="str">
        <f>IF(AND(Riesgos!$AB$31="Alta",Riesgos!$AD$31="Mayor"),CONCATENATE("R5C",Riesgos!$R$31),"")</f>
        <v/>
      </c>
      <c r="AF20" s="47" t="str">
        <f>IF(AND(Riesgos!$AB$32="Alta",Riesgos!$AD$32="Mayor"),CONCATENATE("R5C",Riesgos!$R$32),"")</f>
        <v/>
      </c>
      <c r="AG20" s="48" t="str">
        <f>IF(AND(Riesgos!$AB$33="Alta",Riesgos!$AD$33="Mayor"),CONCATENATE("R5C",Riesgos!$R$33),"")</f>
        <v/>
      </c>
      <c r="AH20" s="49" t="str">
        <f>IF(AND(Riesgos!$AB$28="Alta",Riesgos!$AD$28="Catastrófico"),CONCATENATE("R5C",Riesgos!$R$28),"")</f>
        <v/>
      </c>
      <c r="AI20" s="50" t="str">
        <f>IF(AND(Riesgos!$AB$29="Alta",Riesgos!$AD$29="Catastrófico"),CONCATENATE("R5C",Riesgos!$R$29),"")</f>
        <v/>
      </c>
      <c r="AJ20" s="50" t="str">
        <f>IF(AND(Riesgos!$AB$30="Alta",Riesgos!$AD$30="Catastrófico"),CONCATENATE("R5C",Riesgos!$R$30),"")</f>
        <v/>
      </c>
      <c r="AK20" s="50" t="str">
        <f>IF(AND(Riesgos!$AB$31="Alta",Riesgos!$AD$31="Catastrófico"),CONCATENATE("R5C",Riesgos!$R$31),"")</f>
        <v/>
      </c>
      <c r="AL20" s="50" t="str">
        <f>IF(AND(Riesgos!$AB$32="Alta",Riesgos!$AD$32="Catastrófico"),CONCATENATE("R5C",Riesgos!$R$32),"")</f>
        <v/>
      </c>
      <c r="AM20" s="51" t="str">
        <f>IF(AND(Riesgos!$AB$33="Alta",Riesgos!$AD$33="Catastrófico"),CONCATENATE("R5C",Riesgos!$R$33),"")</f>
        <v/>
      </c>
      <c r="AN20" s="77"/>
      <c r="AO20" s="441"/>
      <c r="AP20" s="442"/>
      <c r="AQ20" s="442"/>
      <c r="AR20" s="442"/>
      <c r="AS20" s="442"/>
      <c r="AT20" s="443"/>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row>
    <row r="21" spans="1:76" ht="15" customHeight="1" x14ac:dyDescent="0.25">
      <c r="A21" s="77"/>
      <c r="B21" s="390"/>
      <c r="C21" s="390"/>
      <c r="D21" s="391"/>
      <c r="E21" s="431"/>
      <c r="F21" s="432"/>
      <c r="G21" s="432"/>
      <c r="H21" s="432"/>
      <c r="I21" s="432"/>
      <c r="J21" s="61" t="str">
        <f>IF(AND(Riesgos!$AB$34="Alta",Riesgos!$AD$34="Leve"),CONCATENATE("R6C",Riesgos!$R$34),"")</f>
        <v/>
      </c>
      <c r="K21" s="62" t="str">
        <f>IF(AND(Riesgos!$AB$35="Alta",Riesgos!$AD$35="Leve"),CONCATENATE("R6C",Riesgos!$R$35),"")</f>
        <v/>
      </c>
      <c r="L21" s="62" t="str">
        <f>IF(AND(Riesgos!$AB$36="Alta",Riesgos!$AD$36="Leve"),CONCATENATE("R6C",Riesgos!$R$36),"")</f>
        <v/>
      </c>
      <c r="M21" s="62" t="str">
        <f>IF(AND(Riesgos!$AB$37="Alta",Riesgos!$AD$37="Leve"),CONCATENATE("R6C",Riesgos!$R$37),"")</f>
        <v/>
      </c>
      <c r="N21" s="62" t="str">
        <f>IF(AND(Riesgos!$AB$38="Alta",Riesgos!$AD$38="Leve"),CONCATENATE("R6C",Riesgos!$R$38),"")</f>
        <v/>
      </c>
      <c r="O21" s="63" t="str">
        <f>IF(AND(Riesgos!$AB$39="Alta",Riesgos!$AD$39="Leve"),CONCATENATE("R6C",Riesgos!$R$39),"")</f>
        <v/>
      </c>
      <c r="P21" s="61" t="str">
        <f>IF(AND(Riesgos!$AB$34="Alta",Riesgos!$AD$34="Menor"),CONCATENATE("R6C",Riesgos!$R$34),"")</f>
        <v/>
      </c>
      <c r="Q21" s="62" t="str">
        <f>IF(AND(Riesgos!$AB$35="Alta",Riesgos!$AD$35="Menor"),CONCATENATE("R6C",Riesgos!$R$35),"")</f>
        <v/>
      </c>
      <c r="R21" s="62" t="str">
        <f>IF(AND(Riesgos!$AB$36="Alta",Riesgos!$AD$36="Menor"),CONCATENATE("R6C",Riesgos!$R$36),"")</f>
        <v/>
      </c>
      <c r="S21" s="62" t="str">
        <f>IF(AND(Riesgos!$AB$37="Alta",Riesgos!$AD$37="Menor"),CONCATENATE("R6C",Riesgos!$R$37),"")</f>
        <v/>
      </c>
      <c r="T21" s="62" t="str">
        <f>IF(AND(Riesgos!$AB$38="Alta",Riesgos!$AD$38="Menor"),CONCATENATE("R6C",Riesgos!$R$38),"")</f>
        <v/>
      </c>
      <c r="U21" s="63" t="str">
        <f>IF(AND(Riesgos!$AB$39="Alta",Riesgos!$AD$39="Menor"),CONCATENATE("R6C",Riesgos!$R$39),"")</f>
        <v/>
      </c>
      <c r="V21" s="46" t="str">
        <f>IF(AND(Riesgos!$AB$34="Alta",Riesgos!$AD$34="Moderado"),CONCATENATE("R6C",Riesgos!$R$34),"")</f>
        <v/>
      </c>
      <c r="W21" s="47" t="str">
        <f>IF(AND(Riesgos!$AB$35="Alta",Riesgos!$AD$35="Moderado"),CONCATENATE("R6C",Riesgos!$R$35),"")</f>
        <v/>
      </c>
      <c r="X21" s="47" t="str">
        <f>IF(AND(Riesgos!$AB$36="Alta",Riesgos!$AD$36="Moderado"),CONCATENATE("R6C",Riesgos!$R$36),"")</f>
        <v/>
      </c>
      <c r="Y21" s="47" t="str">
        <f>IF(AND(Riesgos!$AB$37="Alta",Riesgos!$AD$37="Moderado"),CONCATENATE("R6C",Riesgos!$R$37),"")</f>
        <v/>
      </c>
      <c r="Z21" s="47" t="str">
        <f>IF(AND(Riesgos!$AB$38="Alta",Riesgos!$AD$38="Moderado"),CONCATENATE("R6C",Riesgos!$R$38),"")</f>
        <v/>
      </c>
      <c r="AA21" s="48" t="str">
        <f>IF(AND(Riesgos!$AB$39="Alta",Riesgos!$AD$39="Moderado"),CONCATENATE("R6C",Riesgos!$R$39),"")</f>
        <v/>
      </c>
      <c r="AB21" s="46" t="str">
        <f>IF(AND(Riesgos!$AB$34="Alta",Riesgos!$AD$34="Mayor"),CONCATENATE("R6C",Riesgos!$R$34),"")</f>
        <v/>
      </c>
      <c r="AC21" s="47" t="str">
        <f>IF(AND(Riesgos!$AB$35="Alta",Riesgos!$AD$35="Mayor"),CONCATENATE("R6C",Riesgos!$R$35),"")</f>
        <v/>
      </c>
      <c r="AD21" s="47" t="str">
        <f>IF(AND(Riesgos!$AB$36="Alta",Riesgos!$AD$36="Mayor"),CONCATENATE("R6C",Riesgos!$R$36),"")</f>
        <v/>
      </c>
      <c r="AE21" s="47" t="str">
        <f>IF(AND(Riesgos!$AB$37="Alta",Riesgos!$AD$37="Mayor"),CONCATENATE("R6C",Riesgos!$R$37),"")</f>
        <v/>
      </c>
      <c r="AF21" s="47" t="str">
        <f>IF(AND(Riesgos!$AB$38="Alta",Riesgos!$AD$38="Mayor"),CONCATENATE("R6C",Riesgos!$R$38),"")</f>
        <v/>
      </c>
      <c r="AG21" s="48" t="str">
        <f>IF(AND(Riesgos!$AB$39="Alta",Riesgos!$AD$39="Mayor"),CONCATENATE("R6C",Riesgos!$R$39),"")</f>
        <v/>
      </c>
      <c r="AH21" s="49" t="str">
        <f>IF(AND(Riesgos!$AB$34="Alta",Riesgos!$AD$34="Catastrófico"),CONCATENATE("R6C",Riesgos!$R$34),"")</f>
        <v/>
      </c>
      <c r="AI21" s="50" t="str">
        <f>IF(AND(Riesgos!$AB$35="Alta",Riesgos!$AD$35="Catastrófico"),CONCATENATE("R6C",Riesgos!$R$35),"")</f>
        <v/>
      </c>
      <c r="AJ21" s="50" t="str">
        <f>IF(AND(Riesgos!$AB$36="Alta",Riesgos!$AD$36="Catastrófico"),CONCATENATE("R6C",Riesgos!$R$36),"")</f>
        <v/>
      </c>
      <c r="AK21" s="50" t="str">
        <f>IF(AND(Riesgos!$AB$37="Alta",Riesgos!$AD$37="Catastrófico"),CONCATENATE("R6C",Riesgos!$R$37),"")</f>
        <v/>
      </c>
      <c r="AL21" s="50" t="str">
        <f>IF(AND(Riesgos!$AB$38="Alta",Riesgos!$AD$38="Catastrófico"),CONCATENATE("R6C",Riesgos!$R$38),"")</f>
        <v/>
      </c>
      <c r="AM21" s="51" t="str">
        <f>IF(AND(Riesgos!$AB$39="Alta",Riesgos!$AD$39="Catastrófico"),CONCATENATE("R6C",Riesgos!$R$39),"")</f>
        <v/>
      </c>
      <c r="AN21" s="77"/>
      <c r="AO21" s="441"/>
      <c r="AP21" s="442"/>
      <c r="AQ21" s="442"/>
      <c r="AR21" s="442"/>
      <c r="AS21" s="442"/>
      <c r="AT21" s="443"/>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7"/>
      <c r="BU21" s="77"/>
      <c r="BV21" s="77"/>
      <c r="BW21" s="77"/>
      <c r="BX21" s="77"/>
    </row>
    <row r="22" spans="1:76" ht="15" customHeight="1" x14ac:dyDescent="0.25">
      <c r="A22" s="77"/>
      <c r="B22" s="390"/>
      <c r="C22" s="390"/>
      <c r="D22" s="391"/>
      <c r="E22" s="431"/>
      <c r="F22" s="432"/>
      <c r="G22" s="432"/>
      <c r="H22" s="432"/>
      <c r="I22" s="432"/>
      <c r="J22" s="61" t="str">
        <f>IF(AND(Riesgos!$AB$40="Alta",Riesgos!$AD$40="Leve"),CONCATENATE("R7C",Riesgos!$R$40),"")</f>
        <v/>
      </c>
      <c r="K22" s="62" t="str">
        <f>IF(AND(Riesgos!$AB$41="Alta",Riesgos!$AD$41="Leve"),CONCATENATE("R7C",Riesgos!$R$41),"")</f>
        <v/>
      </c>
      <c r="L22" s="62" t="str">
        <f>IF(AND(Riesgos!$AB$42="Alta",Riesgos!$AD$42="Leve"),CONCATENATE("R7C",Riesgos!$R$42),"")</f>
        <v/>
      </c>
      <c r="M22" s="62" t="str">
        <f>IF(AND(Riesgos!$AB$43="Alta",Riesgos!$AD$43="Leve"),CONCATENATE("R7C",Riesgos!$R$43),"")</f>
        <v/>
      </c>
      <c r="N22" s="62" t="str">
        <f>IF(AND(Riesgos!$AB$44="Alta",Riesgos!$AD$44="Leve"),CONCATENATE("R7C",Riesgos!$R$44),"")</f>
        <v/>
      </c>
      <c r="O22" s="63" t="str">
        <f>IF(AND(Riesgos!$AB$45="Alta",Riesgos!$AD$45="Leve"),CONCATENATE("R7C",Riesgos!$R$45),"")</f>
        <v/>
      </c>
      <c r="P22" s="61" t="str">
        <f>IF(AND(Riesgos!$AB$40="Alta",Riesgos!$AD$40="Menor"),CONCATENATE("R7C",Riesgos!$R$40),"")</f>
        <v/>
      </c>
      <c r="Q22" s="62" t="str">
        <f>IF(AND(Riesgos!$AB$41="Alta",Riesgos!$AD$41="Menor"),CONCATENATE("R7C",Riesgos!$R$41),"")</f>
        <v/>
      </c>
      <c r="R22" s="62" t="str">
        <f>IF(AND(Riesgos!$AB$42="Alta",Riesgos!$AD$42="Menor"),CONCATENATE("R7C",Riesgos!$R$42),"")</f>
        <v/>
      </c>
      <c r="S22" s="62" t="str">
        <f>IF(AND(Riesgos!$AB$43="Alta",Riesgos!$AD$43="Menor"),CONCATENATE("R7C",Riesgos!$R$43),"")</f>
        <v/>
      </c>
      <c r="T22" s="62" t="str">
        <f>IF(AND(Riesgos!$AB$44="Alta",Riesgos!$AD$44="Menor"),CONCATENATE("R7C",Riesgos!$R$44),"")</f>
        <v/>
      </c>
      <c r="U22" s="63" t="str">
        <f>IF(AND(Riesgos!$AB$45="Alta",Riesgos!$AD$45="Menor"),CONCATENATE("R7C",Riesgos!$R$45),"")</f>
        <v/>
      </c>
      <c r="V22" s="46" t="str">
        <f>IF(AND(Riesgos!$AB$40="Alta",Riesgos!$AD$40="Moderado"),CONCATENATE("R7C",Riesgos!$R$40),"")</f>
        <v/>
      </c>
      <c r="W22" s="47" t="str">
        <f>IF(AND(Riesgos!$AB$41="Alta",Riesgos!$AD$41="Moderado"),CONCATENATE("R7C",Riesgos!$R$41),"")</f>
        <v/>
      </c>
      <c r="X22" s="47" t="str">
        <f>IF(AND(Riesgos!$AB$42="Alta",Riesgos!$AD$42="Moderado"),CONCATENATE("R7C",Riesgos!$R$42),"")</f>
        <v/>
      </c>
      <c r="Y22" s="47" t="str">
        <f>IF(AND(Riesgos!$AB$43="Alta",Riesgos!$AD$43="Moderado"),CONCATENATE("R7C",Riesgos!$R$43),"")</f>
        <v/>
      </c>
      <c r="Z22" s="47" t="str">
        <f>IF(AND(Riesgos!$AB$44="Alta",Riesgos!$AD$44="Moderado"),CONCATENATE("R7C",Riesgos!$R$44),"")</f>
        <v/>
      </c>
      <c r="AA22" s="48" t="str">
        <f>IF(AND(Riesgos!$AB$45="Alta",Riesgos!$AD$45="Moderado"),CONCATENATE("R7C",Riesgos!$R$45),"")</f>
        <v/>
      </c>
      <c r="AB22" s="46" t="str">
        <f>IF(AND(Riesgos!$AB$40="Alta",Riesgos!$AD$40="Mayor"),CONCATENATE("R7C",Riesgos!$R$40),"")</f>
        <v/>
      </c>
      <c r="AC22" s="47" t="str">
        <f>IF(AND(Riesgos!$AB$41="Alta",Riesgos!$AD$41="Mayor"),CONCATENATE("R7C",Riesgos!$R$41),"")</f>
        <v/>
      </c>
      <c r="AD22" s="47" t="str">
        <f>IF(AND(Riesgos!$AB$42="Alta",Riesgos!$AD$42="Mayor"),CONCATENATE("R7C",Riesgos!$R$42),"")</f>
        <v/>
      </c>
      <c r="AE22" s="47" t="str">
        <f>IF(AND(Riesgos!$AB$43="Alta",Riesgos!$AD$43="Mayor"),CONCATENATE("R7C",Riesgos!$R$43),"")</f>
        <v/>
      </c>
      <c r="AF22" s="47" t="str">
        <f>IF(AND(Riesgos!$AB$44="Alta",Riesgos!$AD$44="Mayor"),CONCATENATE("R7C",Riesgos!$R$44),"")</f>
        <v/>
      </c>
      <c r="AG22" s="48" t="str">
        <f>IF(AND(Riesgos!$AB$45="Alta",Riesgos!$AD$45="Mayor"),CONCATENATE("R7C",Riesgos!$R$45),"")</f>
        <v/>
      </c>
      <c r="AH22" s="49" t="str">
        <f>IF(AND(Riesgos!$AB$40="Alta",Riesgos!$AD$40="Catastrófico"),CONCATENATE("R7C",Riesgos!$R$40),"")</f>
        <v/>
      </c>
      <c r="AI22" s="50" t="str">
        <f>IF(AND(Riesgos!$AB$41="Alta",Riesgos!$AD$41="Catastrófico"),CONCATENATE("R7C",Riesgos!$R$41),"")</f>
        <v/>
      </c>
      <c r="AJ22" s="50" t="str">
        <f>IF(AND(Riesgos!$AB$42="Alta",Riesgos!$AD$42="Catastrófico"),CONCATENATE("R7C",Riesgos!$R$42),"")</f>
        <v/>
      </c>
      <c r="AK22" s="50" t="str">
        <f>IF(AND(Riesgos!$AB$43="Alta",Riesgos!$AD$43="Catastrófico"),CONCATENATE("R7C",Riesgos!$R$43),"")</f>
        <v/>
      </c>
      <c r="AL22" s="50" t="str">
        <f>IF(AND(Riesgos!$AB$44="Alta",Riesgos!$AD$44="Catastrófico"),CONCATENATE("R7C",Riesgos!$R$44),"")</f>
        <v/>
      </c>
      <c r="AM22" s="51" t="str">
        <f>IF(AND(Riesgos!$AB$45="Alta",Riesgos!$AD$45="Catastrófico"),CONCATENATE("R7C",Riesgos!$R$45),"")</f>
        <v/>
      </c>
      <c r="AN22" s="77"/>
      <c r="AO22" s="441"/>
      <c r="AP22" s="442"/>
      <c r="AQ22" s="442"/>
      <c r="AR22" s="442"/>
      <c r="AS22" s="442"/>
      <c r="AT22" s="443"/>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7"/>
      <c r="BU22" s="77"/>
      <c r="BV22" s="77"/>
      <c r="BW22" s="77"/>
      <c r="BX22" s="77"/>
    </row>
    <row r="23" spans="1:76" ht="15" customHeight="1" x14ac:dyDescent="0.25">
      <c r="A23" s="77"/>
      <c r="B23" s="390"/>
      <c r="C23" s="390"/>
      <c r="D23" s="391"/>
      <c r="E23" s="431"/>
      <c r="F23" s="432"/>
      <c r="G23" s="432"/>
      <c r="H23" s="432"/>
      <c r="I23" s="432"/>
      <c r="J23" s="61" t="str">
        <f>IF(AND(Riesgos!$AB$46="Alta",Riesgos!$AD$46="Leve"),CONCATENATE("R8C",Riesgos!$R$46),"")</f>
        <v/>
      </c>
      <c r="K23" s="62" t="str">
        <f>IF(AND(Riesgos!$AB$47="Alta",Riesgos!$AD$47="Leve"),CONCATENATE("R8C",Riesgos!$R$47),"")</f>
        <v/>
      </c>
      <c r="L23" s="62" t="str">
        <f>IF(AND(Riesgos!$AB$48="Alta",Riesgos!$AD$48="Leve"),CONCATENATE("R8C",Riesgos!$R$48),"")</f>
        <v/>
      </c>
      <c r="M23" s="62" t="str">
        <f>IF(AND(Riesgos!$AB$49="Alta",Riesgos!$AD$49="Leve"),CONCATENATE("R8C",Riesgos!$R$49),"")</f>
        <v/>
      </c>
      <c r="N23" s="62" t="str">
        <f>IF(AND(Riesgos!$AB$50="Alta",Riesgos!$AD$50="Leve"),CONCATENATE("R8C",Riesgos!$R$50),"")</f>
        <v/>
      </c>
      <c r="O23" s="63" t="str">
        <f>IF(AND(Riesgos!$AB$51="Alta",Riesgos!$AD$51="Leve"),CONCATENATE("R8C",Riesgos!$R$51),"")</f>
        <v/>
      </c>
      <c r="P23" s="61" t="str">
        <f>IF(AND(Riesgos!$AB$46="Alta",Riesgos!$AD$46="Menor"),CONCATENATE("R8C",Riesgos!$R$46),"")</f>
        <v/>
      </c>
      <c r="Q23" s="62" t="str">
        <f>IF(AND(Riesgos!$AB$47="Alta",Riesgos!$AD$47="Menor"),CONCATENATE("R8C",Riesgos!$R$47),"")</f>
        <v/>
      </c>
      <c r="R23" s="62" t="str">
        <f>IF(AND(Riesgos!$AB$48="Alta",Riesgos!$AD$48="Menor"),CONCATENATE("R8C",Riesgos!$R$48),"")</f>
        <v/>
      </c>
      <c r="S23" s="62" t="str">
        <f>IF(AND(Riesgos!$AB$49="Alta",Riesgos!$AD$49="Menor"),CONCATENATE("R8C",Riesgos!$R$49),"")</f>
        <v/>
      </c>
      <c r="T23" s="62" t="str">
        <f>IF(AND(Riesgos!$AB$50="Alta",Riesgos!$AD$50="Menor"),CONCATENATE("R8C",Riesgos!$R$50),"")</f>
        <v/>
      </c>
      <c r="U23" s="63" t="str">
        <f>IF(AND(Riesgos!$AB$51="Alta",Riesgos!$AD$51="Menor"),CONCATENATE("R8C",Riesgos!$R$51),"")</f>
        <v/>
      </c>
      <c r="V23" s="46" t="str">
        <f>IF(AND(Riesgos!$AB$46="Alta",Riesgos!$AD$46="Moderado"),CONCATENATE("R8C",Riesgos!$R$46),"")</f>
        <v/>
      </c>
      <c r="W23" s="47" t="str">
        <f>IF(AND(Riesgos!$AB$47="Alta",Riesgos!$AD$47="Moderado"),CONCATENATE("R8C",Riesgos!$R$47),"")</f>
        <v/>
      </c>
      <c r="X23" s="47" t="str">
        <f>IF(AND(Riesgos!$AB$48="Alta",Riesgos!$AD$48="Moderado"),CONCATENATE("R8C",Riesgos!$R$48),"")</f>
        <v/>
      </c>
      <c r="Y23" s="47" t="str">
        <f>IF(AND(Riesgos!$AB$49="Alta",Riesgos!$AD$49="Moderado"),CONCATENATE("R8C",Riesgos!$R$49),"")</f>
        <v/>
      </c>
      <c r="Z23" s="47" t="str">
        <f>IF(AND(Riesgos!$AB$50="Alta",Riesgos!$AD$50="Moderado"),CONCATENATE("R8C",Riesgos!$R$50),"")</f>
        <v/>
      </c>
      <c r="AA23" s="48" t="str">
        <f>IF(AND(Riesgos!$AB$51="Alta",Riesgos!$AD$51="Moderado"),CONCATENATE("R8C",Riesgos!$R$51),"")</f>
        <v/>
      </c>
      <c r="AB23" s="46" t="str">
        <f>IF(AND(Riesgos!$AB$46="Alta",Riesgos!$AD$46="Mayor"),CONCATENATE("R8C",Riesgos!$R$46),"")</f>
        <v/>
      </c>
      <c r="AC23" s="47" t="str">
        <f>IF(AND(Riesgos!$AB$47="Alta",Riesgos!$AD$47="Mayor"),CONCATENATE("R8C",Riesgos!$R$47),"")</f>
        <v/>
      </c>
      <c r="AD23" s="47" t="str">
        <f>IF(AND(Riesgos!$AB$48="Alta",Riesgos!$AD$48="Mayor"),CONCATENATE("R8C",Riesgos!$R$48),"")</f>
        <v/>
      </c>
      <c r="AE23" s="47" t="str">
        <f>IF(AND(Riesgos!$AB$49="Alta",Riesgos!$AD$49="Mayor"),CONCATENATE("R8C",Riesgos!$R$49),"")</f>
        <v/>
      </c>
      <c r="AF23" s="47" t="str">
        <f>IF(AND(Riesgos!$AB$50="Alta",Riesgos!$AD$50="Mayor"),CONCATENATE("R8C",Riesgos!$R$50),"")</f>
        <v/>
      </c>
      <c r="AG23" s="48" t="str">
        <f>IF(AND(Riesgos!$AB$51="Alta",Riesgos!$AD$51="Mayor"),CONCATENATE("R8C",Riesgos!$R$51),"")</f>
        <v/>
      </c>
      <c r="AH23" s="49" t="str">
        <f>IF(AND(Riesgos!$AB$46="Alta",Riesgos!$AD$46="Catastrófico"),CONCATENATE("R8C",Riesgos!$R$46),"")</f>
        <v/>
      </c>
      <c r="AI23" s="50" t="str">
        <f>IF(AND(Riesgos!$AB$47="Alta",Riesgos!$AD$47="Catastrófico"),CONCATENATE("R8C",Riesgos!$R$47),"")</f>
        <v/>
      </c>
      <c r="AJ23" s="50" t="str">
        <f>IF(AND(Riesgos!$AB$48="Alta",Riesgos!$AD$48="Catastrófico"),CONCATENATE("R8C",Riesgos!$R$48),"")</f>
        <v/>
      </c>
      <c r="AK23" s="50" t="str">
        <f>IF(AND(Riesgos!$AB$49="Alta",Riesgos!$AD$49="Catastrófico"),CONCATENATE("R8C",Riesgos!$R$49),"")</f>
        <v/>
      </c>
      <c r="AL23" s="50" t="str">
        <f>IF(AND(Riesgos!$AB$50="Alta",Riesgos!$AD$50="Catastrófico"),CONCATENATE("R8C",Riesgos!$R$50),"")</f>
        <v/>
      </c>
      <c r="AM23" s="51" t="str">
        <f>IF(AND(Riesgos!$AB$51="Alta",Riesgos!$AD$51="Catastrófico"),CONCATENATE("R8C",Riesgos!$R$51),"")</f>
        <v/>
      </c>
      <c r="AN23" s="77"/>
      <c r="AO23" s="441"/>
      <c r="AP23" s="442"/>
      <c r="AQ23" s="442"/>
      <c r="AR23" s="442"/>
      <c r="AS23" s="442"/>
      <c r="AT23" s="443"/>
      <c r="AU23" s="77"/>
      <c r="AV23" s="77"/>
      <c r="AW23" s="77"/>
      <c r="AX23" s="77"/>
      <c r="AY23" s="77"/>
      <c r="AZ23" s="77"/>
      <c r="BA23" s="77"/>
      <c r="BB23" s="77"/>
      <c r="BC23" s="77"/>
      <c r="BD23" s="77"/>
      <c r="BE23" s="77"/>
      <c r="BF23" s="77"/>
      <c r="BG23" s="77"/>
      <c r="BH23" s="77"/>
      <c r="BI23" s="77"/>
      <c r="BJ23" s="77"/>
      <c r="BK23" s="77"/>
      <c r="BL23" s="77"/>
      <c r="BM23" s="77"/>
      <c r="BN23" s="77"/>
      <c r="BO23" s="77"/>
      <c r="BP23" s="77"/>
      <c r="BQ23" s="77"/>
      <c r="BR23" s="77"/>
      <c r="BS23" s="77"/>
      <c r="BT23" s="77"/>
      <c r="BU23" s="77"/>
      <c r="BV23" s="77"/>
      <c r="BW23" s="77"/>
      <c r="BX23" s="77"/>
    </row>
    <row r="24" spans="1:76" ht="15" customHeight="1" x14ac:dyDescent="0.25">
      <c r="A24" s="77"/>
      <c r="B24" s="390"/>
      <c r="C24" s="390"/>
      <c r="D24" s="391"/>
      <c r="E24" s="431"/>
      <c r="F24" s="432"/>
      <c r="G24" s="432"/>
      <c r="H24" s="432"/>
      <c r="I24" s="432"/>
      <c r="J24" s="61" t="str">
        <f>IF(AND(Riesgos!$AB$52="Alta",Riesgos!$AD$52="Leve"),CONCATENATE("R9C",Riesgos!$R$52),"")</f>
        <v/>
      </c>
      <c r="K24" s="62" t="str">
        <f>IF(AND(Riesgos!$AB$53="Alta",Riesgos!$AD$53="Leve"),CONCATENATE("R9C",Riesgos!$R$53),"")</f>
        <v/>
      </c>
      <c r="L24" s="62" t="str">
        <f>IF(AND(Riesgos!$AB$54="Alta",Riesgos!$AD$54="Leve"),CONCATENATE("R9C",Riesgos!$R$54),"")</f>
        <v/>
      </c>
      <c r="M24" s="62" t="str">
        <f>IF(AND(Riesgos!$AB$55="Alta",Riesgos!$AD$55="Leve"),CONCATENATE("R9C",Riesgos!$R$55),"")</f>
        <v/>
      </c>
      <c r="N24" s="62" t="str">
        <f>IF(AND(Riesgos!$AB$56="Alta",Riesgos!$AD$56="Leve"),CONCATENATE("R9C",Riesgos!$R$56),"")</f>
        <v/>
      </c>
      <c r="O24" s="63" t="str">
        <f>IF(AND(Riesgos!$AB$57="Alta",Riesgos!$AD$57="Leve"),CONCATENATE("R9C",Riesgos!$R$57),"")</f>
        <v/>
      </c>
      <c r="P24" s="61" t="str">
        <f>IF(AND(Riesgos!$AB$52="Alta",Riesgos!$AD$52="Menor"),CONCATENATE("R9C",Riesgos!$R$52),"")</f>
        <v/>
      </c>
      <c r="Q24" s="62" t="str">
        <f>IF(AND(Riesgos!$AB$53="Alta",Riesgos!$AD$53="Menor"),CONCATENATE("R9C",Riesgos!$R$53),"")</f>
        <v/>
      </c>
      <c r="R24" s="62" t="str">
        <f>IF(AND(Riesgos!$AB$54="Alta",Riesgos!$AD$54="Menor"),CONCATENATE("R9C",Riesgos!$R$54),"")</f>
        <v/>
      </c>
      <c r="S24" s="62" t="str">
        <f>IF(AND(Riesgos!$AB$55="Alta",Riesgos!$AD$55="Menor"),CONCATENATE("R9C",Riesgos!$R$55),"")</f>
        <v/>
      </c>
      <c r="T24" s="62" t="str">
        <f>IF(AND(Riesgos!$AB$56="Alta",Riesgos!$AD$56="Menor"),CONCATENATE("R9C",Riesgos!$R$56),"")</f>
        <v/>
      </c>
      <c r="U24" s="63" t="str">
        <f>IF(AND(Riesgos!$AB$57="Alta",Riesgos!$AD$57="Menor"),CONCATENATE("R9C",Riesgos!$R$57),"")</f>
        <v/>
      </c>
      <c r="V24" s="46" t="str">
        <f>IF(AND(Riesgos!$AB$52="Alta",Riesgos!$AD$52="Moderado"),CONCATENATE("R9C",Riesgos!$R$52),"")</f>
        <v/>
      </c>
      <c r="W24" s="47" t="str">
        <f>IF(AND(Riesgos!$AB$53="Alta",Riesgos!$AD$53="Moderado"),CONCATENATE("R9C",Riesgos!$R$53),"")</f>
        <v/>
      </c>
      <c r="X24" s="47" t="str">
        <f>IF(AND(Riesgos!$AB$54="Alta",Riesgos!$AD$54="Moderado"),CONCATENATE("R9C",Riesgos!$R$54),"")</f>
        <v/>
      </c>
      <c r="Y24" s="47" t="str">
        <f>IF(AND(Riesgos!$AB$55="Alta",Riesgos!$AD$55="Moderado"),CONCATENATE("R9C",Riesgos!$R$55),"")</f>
        <v/>
      </c>
      <c r="Z24" s="47" t="str">
        <f>IF(AND(Riesgos!$AB$56="Alta",Riesgos!$AD$56="Moderado"),CONCATENATE("R9C",Riesgos!$R$56),"")</f>
        <v/>
      </c>
      <c r="AA24" s="48" t="str">
        <f>IF(AND(Riesgos!$AB$57="Alta",Riesgos!$AD$57="Moderado"),CONCATENATE("R9C",Riesgos!$R$57),"")</f>
        <v/>
      </c>
      <c r="AB24" s="46" t="str">
        <f>IF(AND(Riesgos!$AB$52="Alta",Riesgos!$AD$52="Mayor"),CONCATENATE("R9C",Riesgos!$R$52),"")</f>
        <v/>
      </c>
      <c r="AC24" s="47" t="str">
        <f>IF(AND(Riesgos!$AB$53="Alta",Riesgos!$AD$53="Mayor"),CONCATENATE("R9C",Riesgos!$R$53),"")</f>
        <v/>
      </c>
      <c r="AD24" s="47" t="str">
        <f>IF(AND(Riesgos!$AB$54="Alta",Riesgos!$AD$54="Mayor"),CONCATENATE("R9C",Riesgos!$R$54),"")</f>
        <v/>
      </c>
      <c r="AE24" s="47" t="str">
        <f>IF(AND(Riesgos!$AB$55="Alta",Riesgos!$AD$55="Mayor"),CONCATENATE("R9C",Riesgos!$R$55),"")</f>
        <v/>
      </c>
      <c r="AF24" s="47" t="str">
        <f>IF(AND(Riesgos!$AB$56="Alta",Riesgos!$AD$56="Mayor"),CONCATENATE("R9C",Riesgos!$R$56),"")</f>
        <v/>
      </c>
      <c r="AG24" s="48" t="str">
        <f>IF(AND(Riesgos!$AB$57="Alta",Riesgos!$AD$57="Mayor"),CONCATENATE("R9C",Riesgos!$R$57),"")</f>
        <v/>
      </c>
      <c r="AH24" s="49" t="str">
        <f>IF(AND(Riesgos!$AB$52="Alta",Riesgos!$AD$52="Catastrófico"),CONCATENATE("R9C",Riesgos!$R$52),"")</f>
        <v/>
      </c>
      <c r="AI24" s="50" t="str">
        <f>IF(AND(Riesgos!$AB$53="Alta",Riesgos!$AD$53="Catastrófico"),CONCATENATE("R9C",Riesgos!$R$53),"")</f>
        <v/>
      </c>
      <c r="AJ24" s="50" t="str">
        <f>IF(AND(Riesgos!$AB$54="Alta",Riesgos!$AD$54="Catastrófico"),CONCATENATE("R9C",Riesgos!$R$54),"")</f>
        <v/>
      </c>
      <c r="AK24" s="50" t="str">
        <f>IF(AND(Riesgos!$AB$55="Alta",Riesgos!$AD$55="Catastrófico"),CONCATENATE("R9C",Riesgos!$R$55),"")</f>
        <v/>
      </c>
      <c r="AL24" s="50" t="str">
        <f>IF(AND(Riesgos!$AB$56="Alta",Riesgos!$AD$56="Catastrófico"),CONCATENATE("R9C",Riesgos!$R$56),"")</f>
        <v/>
      </c>
      <c r="AM24" s="51" t="str">
        <f>IF(AND(Riesgos!$AB$57="Alta",Riesgos!$AD$57="Catastrófico"),CONCATENATE("R9C",Riesgos!$R$57),"")</f>
        <v/>
      </c>
      <c r="AN24" s="77"/>
      <c r="AO24" s="441"/>
      <c r="AP24" s="442"/>
      <c r="AQ24" s="442"/>
      <c r="AR24" s="442"/>
      <c r="AS24" s="442"/>
      <c r="AT24" s="443"/>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row>
    <row r="25" spans="1:76" ht="15.75" customHeight="1" thickBot="1" x14ac:dyDescent="0.3">
      <c r="A25" s="77"/>
      <c r="B25" s="390"/>
      <c r="C25" s="390"/>
      <c r="D25" s="391"/>
      <c r="E25" s="434"/>
      <c r="F25" s="435"/>
      <c r="G25" s="435"/>
      <c r="H25" s="435"/>
      <c r="I25" s="435"/>
      <c r="J25" s="64" t="e">
        <f>IF(AND(Riesgos!#REF!="Alta",Riesgos!#REF!="Leve"),CONCATENATE("R10C",Riesgos!#REF!),"")</f>
        <v>#REF!</v>
      </c>
      <c r="K25" s="65" t="e">
        <f>IF(AND(Riesgos!#REF!="Alta",Riesgos!#REF!="Leve"),CONCATENATE("R10C",Riesgos!#REF!),"")</f>
        <v>#REF!</v>
      </c>
      <c r="L25" s="65" t="e">
        <f>IF(AND(Riesgos!#REF!="Alta",Riesgos!#REF!="Leve"),CONCATENATE("R10C",Riesgos!#REF!),"")</f>
        <v>#REF!</v>
      </c>
      <c r="M25" s="65" t="e">
        <f>IF(AND(Riesgos!#REF!="Alta",Riesgos!#REF!="Leve"),CONCATENATE("R10C",Riesgos!#REF!),"")</f>
        <v>#REF!</v>
      </c>
      <c r="N25" s="65" t="e">
        <f>IF(AND(Riesgos!#REF!="Alta",Riesgos!#REF!="Leve"),CONCATENATE("R10C",Riesgos!#REF!),"")</f>
        <v>#REF!</v>
      </c>
      <c r="O25" s="66" t="e">
        <f>IF(AND(Riesgos!#REF!="Alta",Riesgos!#REF!="Leve"),CONCATENATE("R10C",Riesgos!#REF!),"")</f>
        <v>#REF!</v>
      </c>
      <c r="P25" s="64" t="e">
        <f>IF(AND(Riesgos!#REF!="Alta",Riesgos!#REF!="Menor"),CONCATENATE("R10C",Riesgos!#REF!),"")</f>
        <v>#REF!</v>
      </c>
      <c r="Q25" s="65" t="e">
        <f>IF(AND(Riesgos!#REF!="Alta",Riesgos!#REF!="Menor"),CONCATENATE("R10C",Riesgos!#REF!),"")</f>
        <v>#REF!</v>
      </c>
      <c r="R25" s="65" t="e">
        <f>IF(AND(Riesgos!#REF!="Alta",Riesgos!#REF!="Menor"),CONCATENATE("R10C",Riesgos!#REF!),"")</f>
        <v>#REF!</v>
      </c>
      <c r="S25" s="65" t="e">
        <f>IF(AND(Riesgos!#REF!="Alta",Riesgos!#REF!="Menor"),CONCATENATE("R10C",Riesgos!#REF!),"")</f>
        <v>#REF!</v>
      </c>
      <c r="T25" s="65" t="e">
        <f>IF(AND(Riesgos!#REF!="Alta",Riesgos!#REF!="Menor"),CONCATENATE("R10C",Riesgos!#REF!),"")</f>
        <v>#REF!</v>
      </c>
      <c r="U25" s="66" t="e">
        <f>IF(AND(Riesgos!#REF!="Alta",Riesgos!#REF!="Menor"),CONCATENATE("R10C",Riesgos!#REF!),"")</f>
        <v>#REF!</v>
      </c>
      <c r="V25" s="52" t="e">
        <f>IF(AND(Riesgos!#REF!="Alta",Riesgos!#REF!="Moderado"),CONCATENATE("R10C",Riesgos!#REF!),"")</f>
        <v>#REF!</v>
      </c>
      <c r="W25" s="53" t="e">
        <f>IF(AND(Riesgos!#REF!="Alta",Riesgos!#REF!="Moderado"),CONCATENATE("R10C",Riesgos!#REF!),"")</f>
        <v>#REF!</v>
      </c>
      <c r="X25" s="53" t="e">
        <f>IF(AND(Riesgos!#REF!="Alta",Riesgos!#REF!="Moderado"),CONCATENATE("R10C",Riesgos!#REF!),"")</f>
        <v>#REF!</v>
      </c>
      <c r="Y25" s="53" t="e">
        <f>IF(AND(Riesgos!#REF!="Alta",Riesgos!#REF!="Moderado"),CONCATENATE("R10C",Riesgos!#REF!),"")</f>
        <v>#REF!</v>
      </c>
      <c r="Z25" s="53" t="e">
        <f>IF(AND(Riesgos!#REF!="Alta",Riesgos!#REF!="Moderado"),CONCATENATE("R10C",Riesgos!#REF!),"")</f>
        <v>#REF!</v>
      </c>
      <c r="AA25" s="54" t="e">
        <f>IF(AND(Riesgos!#REF!="Alta",Riesgos!#REF!="Moderado"),CONCATENATE("R10C",Riesgos!#REF!),"")</f>
        <v>#REF!</v>
      </c>
      <c r="AB25" s="52" t="e">
        <f>IF(AND(Riesgos!#REF!="Alta",Riesgos!#REF!="Mayor"),CONCATENATE("R10C",Riesgos!#REF!),"")</f>
        <v>#REF!</v>
      </c>
      <c r="AC25" s="53" t="e">
        <f>IF(AND(Riesgos!#REF!="Alta",Riesgos!#REF!="Mayor"),CONCATENATE("R10C",Riesgos!#REF!),"")</f>
        <v>#REF!</v>
      </c>
      <c r="AD25" s="53" t="e">
        <f>IF(AND(Riesgos!#REF!="Alta",Riesgos!#REF!="Mayor"),CONCATENATE("R10C",Riesgos!#REF!),"")</f>
        <v>#REF!</v>
      </c>
      <c r="AE25" s="53" t="e">
        <f>IF(AND(Riesgos!#REF!="Alta",Riesgos!#REF!="Mayor"),CONCATENATE("R10C",Riesgos!#REF!),"")</f>
        <v>#REF!</v>
      </c>
      <c r="AF25" s="53" t="e">
        <f>IF(AND(Riesgos!#REF!="Alta",Riesgos!#REF!="Mayor"),CONCATENATE("R10C",Riesgos!#REF!),"")</f>
        <v>#REF!</v>
      </c>
      <c r="AG25" s="54" t="e">
        <f>IF(AND(Riesgos!#REF!="Alta",Riesgos!#REF!="Mayor"),CONCATENATE("R10C",Riesgos!#REF!),"")</f>
        <v>#REF!</v>
      </c>
      <c r="AH25" s="55" t="e">
        <f>IF(AND(Riesgos!#REF!="Alta",Riesgos!#REF!="Catastrófico"),CONCATENATE("R10C",Riesgos!#REF!),"")</f>
        <v>#REF!</v>
      </c>
      <c r="AI25" s="56" t="e">
        <f>IF(AND(Riesgos!#REF!="Alta",Riesgos!#REF!="Catastrófico"),CONCATENATE("R10C",Riesgos!#REF!),"")</f>
        <v>#REF!</v>
      </c>
      <c r="AJ25" s="56" t="e">
        <f>IF(AND(Riesgos!#REF!="Alta",Riesgos!#REF!="Catastrófico"),CONCATENATE("R10C",Riesgos!#REF!),"")</f>
        <v>#REF!</v>
      </c>
      <c r="AK25" s="56" t="e">
        <f>IF(AND(Riesgos!#REF!="Alta",Riesgos!#REF!="Catastrófico"),CONCATENATE("R10C",Riesgos!#REF!),"")</f>
        <v>#REF!</v>
      </c>
      <c r="AL25" s="56" t="e">
        <f>IF(AND(Riesgos!#REF!="Alta",Riesgos!#REF!="Catastrófico"),CONCATENATE("R10C",Riesgos!#REF!),"")</f>
        <v>#REF!</v>
      </c>
      <c r="AM25" s="57" t="e">
        <f>IF(AND(Riesgos!#REF!="Alta",Riesgos!#REF!="Catastrófico"),CONCATENATE("R10C",Riesgos!#REF!),"")</f>
        <v>#REF!</v>
      </c>
      <c r="AN25" s="77"/>
      <c r="AO25" s="444"/>
      <c r="AP25" s="445"/>
      <c r="AQ25" s="445"/>
      <c r="AR25" s="445"/>
      <c r="AS25" s="445"/>
      <c r="AT25" s="446"/>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77"/>
      <c r="BS25" s="77"/>
      <c r="BT25" s="77"/>
      <c r="BU25" s="77"/>
      <c r="BV25" s="77"/>
      <c r="BW25" s="77"/>
      <c r="BX25" s="77"/>
    </row>
    <row r="26" spans="1:76" ht="15" customHeight="1" x14ac:dyDescent="0.25">
      <c r="A26" s="77"/>
      <c r="B26" s="390"/>
      <c r="C26" s="390"/>
      <c r="D26" s="391"/>
      <c r="E26" s="428" t="s">
        <v>114</v>
      </c>
      <c r="F26" s="429"/>
      <c r="G26" s="429"/>
      <c r="H26" s="429"/>
      <c r="I26" s="430"/>
      <c r="J26" s="58" t="str">
        <f>IF(AND(Riesgos!$AB$10="Media",Riesgos!$AD$10="Leve"),CONCATENATE("R1C",Riesgos!$R$10),"")</f>
        <v/>
      </c>
      <c r="K26" s="59" t="str">
        <f>IF(AND(Riesgos!$AB$11="Media",Riesgos!$AD$11="Leve"),CONCATENATE("R1C",Riesgos!$R$11),"")</f>
        <v/>
      </c>
      <c r="L26" s="59" t="str">
        <f>IF(AND(Riesgos!$AB$12="Media",Riesgos!$AD$12="Leve"),CONCATENATE("R1C",Riesgos!$R$12),"")</f>
        <v/>
      </c>
      <c r="M26" s="59" t="str">
        <f>IF(AND(Riesgos!$AB$13="Media",Riesgos!$AD$13="Leve"),CONCATENATE("R1C",Riesgos!$R$13),"")</f>
        <v/>
      </c>
      <c r="N26" s="59" t="str">
        <f>IF(AND(Riesgos!$AB$14="Media",Riesgos!$AD$14="Leve"),CONCATENATE("R1C",Riesgos!$R$14),"")</f>
        <v/>
      </c>
      <c r="O26" s="60" t="str">
        <f>IF(AND(Riesgos!$AB$15="Media",Riesgos!$AD$15="Leve"),CONCATENATE("R1C",Riesgos!$R$15),"")</f>
        <v/>
      </c>
      <c r="P26" s="58" t="str">
        <f>IF(AND(Riesgos!$AB$10="Media",Riesgos!$AD$10="Menor"),CONCATENATE("R1C",Riesgos!$R$10),"")</f>
        <v/>
      </c>
      <c r="Q26" s="59" t="str">
        <f>IF(AND(Riesgos!$AB$11="Media",Riesgos!$AD$11="Menor"),CONCATENATE("R1C",Riesgos!$R$11),"")</f>
        <v/>
      </c>
      <c r="R26" s="59" t="str">
        <f>IF(AND(Riesgos!$AB$12="Media",Riesgos!$AD$12="Menor"),CONCATENATE("R1C",Riesgos!$R$12),"")</f>
        <v/>
      </c>
      <c r="S26" s="59" t="str">
        <f>IF(AND(Riesgos!$AB$13="Media",Riesgos!$AD$13="Menor"),CONCATENATE("R1C",Riesgos!$R$13),"")</f>
        <v/>
      </c>
      <c r="T26" s="59" t="str">
        <f>IF(AND(Riesgos!$AB$14="Media",Riesgos!$AD$14="Menor"),CONCATENATE("R1C",Riesgos!$R$14),"")</f>
        <v/>
      </c>
      <c r="U26" s="60" t="str">
        <f>IF(AND(Riesgos!$AB$15="Media",Riesgos!$AD$15="Menor"),CONCATENATE("R1C",Riesgos!$R$15),"")</f>
        <v/>
      </c>
      <c r="V26" s="58" t="str">
        <f>IF(AND(Riesgos!$AB$10="Media",Riesgos!$AD$10="Moderado"),CONCATENATE("R1C",Riesgos!$R$10),"")</f>
        <v/>
      </c>
      <c r="W26" s="59" t="str">
        <f>IF(AND(Riesgos!$AB$11="Media",Riesgos!$AD$11="Moderado"),CONCATENATE("R1C",Riesgos!$R$11),"")</f>
        <v/>
      </c>
      <c r="X26" s="59" t="str">
        <f>IF(AND(Riesgos!$AB$12="Media",Riesgos!$AD$12="Moderado"),CONCATENATE("R1C",Riesgos!$R$12),"")</f>
        <v/>
      </c>
      <c r="Y26" s="59" t="str">
        <f>IF(AND(Riesgos!$AB$13="Media",Riesgos!$AD$13="Moderado"),CONCATENATE("R1C",Riesgos!$R$13),"")</f>
        <v/>
      </c>
      <c r="Z26" s="59" t="str">
        <f>IF(AND(Riesgos!$AB$14="Media",Riesgos!$AD$14="Moderado"),CONCATENATE("R1C",Riesgos!$R$14),"")</f>
        <v/>
      </c>
      <c r="AA26" s="60" t="str">
        <f>IF(AND(Riesgos!$AB$15="Media",Riesgos!$AD$15="Moderado"),CONCATENATE("R1C",Riesgos!$R$15),"")</f>
        <v/>
      </c>
      <c r="AB26" s="40" t="str">
        <f>IF(AND(Riesgos!$AB$10="Media",Riesgos!$AD$10="Mayor"),CONCATENATE("R1C",Riesgos!$R$10),"")</f>
        <v/>
      </c>
      <c r="AC26" s="41" t="str">
        <f>IF(AND(Riesgos!$AB$11="Media",Riesgos!$AD$11="Mayor"),CONCATENATE("R1C",Riesgos!$R$11),"")</f>
        <v/>
      </c>
      <c r="AD26" s="41" t="str">
        <f>IF(AND(Riesgos!$AB$12="Media",Riesgos!$AD$12="Mayor"),CONCATENATE("R1C",Riesgos!$R$12),"")</f>
        <v/>
      </c>
      <c r="AE26" s="41" t="str">
        <f>IF(AND(Riesgos!$AB$13="Media",Riesgos!$AD$13="Mayor"),CONCATENATE("R1C",Riesgos!$R$13),"")</f>
        <v/>
      </c>
      <c r="AF26" s="41" t="str">
        <f>IF(AND(Riesgos!$AB$14="Media",Riesgos!$AD$14="Mayor"),CONCATENATE("R1C",Riesgos!$R$14),"")</f>
        <v/>
      </c>
      <c r="AG26" s="42" t="str">
        <f>IF(AND(Riesgos!$AB$15="Media",Riesgos!$AD$15="Mayor"),CONCATENATE("R1C",Riesgos!$R$15),"")</f>
        <v/>
      </c>
      <c r="AH26" s="43" t="str">
        <f>IF(AND(Riesgos!$AB$10="Media",Riesgos!$AD$10="Catastrófico"),CONCATENATE("R1C",Riesgos!$R$10),"")</f>
        <v/>
      </c>
      <c r="AI26" s="44" t="str">
        <f>IF(AND(Riesgos!$AB$11="Media",Riesgos!$AD$11="Catastrófico"),CONCATENATE("R1C",Riesgos!$R$11),"")</f>
        <v/>
      </c>
      <c r="AJ26" s="44" t="str">
        <f>IF(AND(Riesgos!$AB$12="Media",Riesgos!$AD$12="Catastrófico"),CONCATENATE("R1C",Riesgos!$R$12),"")</f>
        <v/>
      </c>
      <c r="AK26" s="44" t="str">
        <f>IF(AND(Riesgos!$AB$13="Media",Riesgos!$AD$13="Catastrófico"),CONCATENATE("R1C",Riesgos!$R$13),"")</f>
        <v/>
      </c>
      <c r="AL26" s="44" t="str">
        <f>IF(AND(Riesgos!$AB$14="Media",Riesgos!$AD$14="Catastrófico"),CONCATENATE("R1C",Riesgos!$R$14),"")</f>
        <v/>
      </c>
      <c r="AM26" s="45" t="str">
        <f>IF(AND(Riesgos!$AB$15="Media",Riesgos!$AD$15="Catastrófico"),CONCATENATE("R1C",Riesgos!$R$15),"")</f>
        <v/>
      </c>
      <c r="AN26" s="77"/>
      <c r="AO26" s="468" t="s">
        <v>78</v>
      </c>
      <c r="AP26" s="469"/>
      <c r="AQ26" s="469"/>
      <c r="AR26" s="469"/>
      <c r="AS26" s="469"/>
      <c r="AT26" s="470"/>
      <c r="AU26" s="77"/>
      <c r="AV26" s="77"/>
      <c r="AW26" s="77"/>
      <c r="AX26" s="77"/>
      <c r="AY26" s="77"/>
      <c r="AZ26" s="77"/>
      <c r="BA26" s="77"/>
      <c r="BB26" s="77"/>
      <c r="BC26" s="77"/>
      <c r="BD26" s="77"/>
      <c r="BE26" s="77"/>
      <c r="BF26" s="77"/>
      <c r="BG26" s="77"/>
      <c r="BH26" s="77"/>
      <c r="BI26" s="77"/>
      <c r="BJ26" s="77"/>
      <c r="BK26" s="77"/>
      <c r="BL26" s="77"/>
      <c r="BM26" s="77"/>
      <c r="BN26" s="77"/>
      <c r="BO26" s="77"/>
      <c r="BP26" s="77"/>
      <c r="BQ26" s="77"/>
      <c r="BR26" s="77"/>
      <c r="BS26" s="77"/>
      <c r="BT26" s="77"/>
      <c r="BU26" s="77"/>
      <c r="BV26" s="77"/>
      <c r="BW26" s="77"/>
      <c r="BX26" s="77"/>
    </row>
    <row r="27" spans="1:76" ht="15" customHeight="1" x14ac:dyDescent="0.25">
      <c r="A27" s="77"/>
      <c r="B27" s="390"/>
      <c r="C27" s="390"/>
      <c r="D27" s="391"/>
      <c r="E27" s="447"/>
      <c r="F27" s="432"/>
      <c r="G27" s="432"/>
      <c r="H27" s="432"/>
      <c r="I27" s="433"/>
      <c r="J27" s="61" t="str">
        <f>IF(AND(Riesgos!$AB$16="Media",Riesgos!$AD$16="Leve"),CONCATENATE("R2C",Riesgos!$R$16),"")</f>
        <v/>
      </c>
      <c r="K27" s="62" t="str">
        <f>IF(AND(Riesgos!$AB$17="Media",Riesgos!$AD$17="Leve"),CONCATENATE("R2C",Riesgos!$R$17),"")</f>
        <v/>
      </c>
      <c r="L27" s="62" t="str">
        <f>IF(AND(Riesgos!$AB$18="Media",Riesgos!$AD$18="Leve"),CONCATENATE("R2C",Riesgos!$R$18),"")</f>
        <v/>
      </c>
      <c r="M27" s="62" t="str">
        <f>IF(AND(Riesgos!$AB$19="Media",Riesgos!$AD$19="Leve"),CONCATENATE("R2C",Riesgos!$R$19),"")</f>
        <v/>
      </c>
      <c r="N27" s="62" t="str">
        <f>IF(AND(Riesgos!$AB$20="Media",Riesgos!$AD$20="Leve"),CONCATENATE("R2C",Riesgos!$R$20),"")</f>
        <v/>
      </c>
      <c r="O27" s="63" t="str">
        <f>IF(AND(Riesgos!$AB$21="Media",Riesgos!$AD$21="Leve"),CONCATENATE("R2C",Riesgos!$R$21),"")</f>
        <v/>
      </c>
      <c r="P27" s="61" t="str">
        <f>IF(AND(Riesgos!$AB$16="Media",Riesgos!$AD$16="Menor"),CONCATENATE("R2C",Riesgos!$R$16),"")</f>
        <v/>
      </c>
      <c r="Q27" s="62" t="str">
        <f>IF(AND(Riesgos!$AB$17="Media",Riesgos!$AD$17="Menor"),CONCATENATE("R2C",Riesgos!$R$17),"")</f>
        <v/>
      </c>
      <c r="R27" s="62" t="str">
        <f>IF(AND(Riesgos!$AB$18="Media",Riesgos!$AD$18="Menor"),CONCATENATE("R2C",Riesgos!$R$18),"")</f>
        <v/>
      </c>
      <c r="S27" s="62" t="str">
        <f>IF(AND(Riesgos!$AB$19="Media",Riesgos!$AD$19="Menor"),CONCATENATE("R2C",Riesgos!$R$19),"")</f>
        <v/>
      </c>
      <c r="T27" s="62" t="str">
        <f>IF(AND(Riesgos!$AB$20="Media",Riesgos!$AD$20="Menor"),CONCATENATE("R2C",Riesgos!$R$20),"")</f>
        <v/>
      </c>
      <c r="U27" s="63" t="str">
        <f>IF(AND(Riesgos!$AB$21="Media",Riesgos!$AD$21="Menor"),CONCATENATE("R2C",Riesgos!$R$21),"")</f>
        <v/>
      </c>
      <c r="V27" s="61" t="str">
        <f>IF(AND(Riesgos!$AB$16="Media",Riesgos!$AD$16="Moderado"),CONCATENATE("R2C",Riesgos!$R$16),"")</f>
        <v/>
      </c>
      <c r="W27" s="62" t="str">
        <f>IF(AND(Riesgos!$AB$17="Media",Riesgos!$AD$17="Moderado"),CONCATENATE("R2C",Riesgos!$R$17),"")</f>
        <v/>
      </c>
      <c r="X27" s="62" t="str">
        <f>IF(AND(Riesgos!$AB$18="Media",Riesgos!$AD$18="Moderado"),CONCATENATE("R2C",Riesgos!$R$18),"")</f>
        <v/>
      </c>
      <c r="Y27" s="62" t="str">
        <f>IF(AND(Riesgos!$AB$19="Media",Riesgos!$AD$19="Moderado"),CONCATENATE("R2C",Riesgos!$R$19),"")</f>
        <v/>
      </c>
      <c r="Z27" s="62" t="str">
        <f>IF(AND(Riesgos!$AB$20="Media",Riesgos!$AD$20="Moderado"),CONCATENATE("R2C",Riesgos!$R$20),"")</f>
        <v/>
      </c>
      <c r="AA27" s="63" t="str">
        <f>IF(AND(Riesgos!$AB$21="Media",Riesgos!$AD$21="Moderado"),CONCATENATE("R2C",Riesgos!$R$21),"")</f>
        <v/>
      </c>
      <c r="AB27" s="46" t="str">
        <f>IF(AND(Riesgos!$AB$16="Media",Riesgos!$AD$16="Mayor"),CONCATENATE("R2C",Riesgos!$R$16),"")</f>
        <v/>
      </c>
      <c r="AC27" s="47" t="str">
        <f>IF(AND(Riesgos!$AB$17="Media",Riesgos!$AD$17="Mayor"),CONCATENATE("R2C",Riesgos!$R$17),"")</f>
        <v/>
      </c>
      <c r="AD27" s="47" t="str">
        <f>IF(AND(Riesgos!$AB$18="Media",Riesgos!$AD$18="Mayor"),CONCATENATE("R2C",Riesgos!$R$18),"")</f>
        <v/>
      </c>
      <c r="AE27" s="47" t="str">
        <f>IF(AND(Riesgos!$AB$19="Media",Riesgos!$AD$19="Mayor"),CONCATENATE("R2C",Riesgos!$R$19),"")</f>
        <v/>
      </c>
      <c r="AF27" s="47" t="str">
        <f>IF(AND(Riesgos!$AB$20="Media",Riesgos!$AD$20="Mayor"),CONCATENATE("R2C",Riesgos!$R$20),"")</f>
        <v/>
      </c>
      <c r="AG27" s="48" t="str">
        <f>IF(AND(Riesgos!$AB$21="Media",Riesgos!$AD$21="Mayor"),CONCATENATE("R2C",Riesgos!$R$21),"")</f>
        <v/>
      </c>
      <c r="AH27" s="49" t="str">
        <f>IF(AND(Riesgos!$AB$16="Media",Riesgos!$AD$16="Catastrófico"),CONCATENATE("R2C",Riesgos!$R$16),"")</f>
        <v/>
      </c>
      <c r="AI27" s="50" t="str">
        <f>IF(AND(Riesgos!$AB$17="Media",Riesgos!$AD$17="Catastrófico"),CONCATENATE("R2C",Riesgos!$R$17),"")</f>
        <v/>
      </c>
      <c r="AJ27" s="50" t="str">
        <f>IF(AND(Riesgos!$AB$18="Media",Riesgos!$AD$18="Catastrófico"),CONCATENATE("R2C",Riesgos!$R$18),"")</f>
        <v/>
      </c>
      <c r="AK27" s="50" t="str">
        <f>IF(AND(Riesgos!$AB$19="Media",Riesgos!$AD$19="Catastrófico"),CONCATENATE("R2C",Riesgos!$R$19),"")</f>
        <v/>
      </c>
      <c r="AL27" s="50" t="str">
        <f>IF(AND(Riesgos!$AB$20="Media",Riesgos!$AD$20="Catastrófico"),CONCATENATE("R2C",Riesgos!$R$20),"")</f>
        <v/>
      </c>
      <c r="AM27" s="51" t="str">
        <f>IF(AND(Riesgos!$AB$21="Media",Riesgos!$AD$21="Catastrófico"),CONCATENATE("R2C",Riesgos!$R$21),"")</f>
        <v/>
      </c>
      <c r="AN27" s="77"/>
      <c r="AO27" s="471"/>
      <c r="AP27" s="472"/>
      <c r="AQ27" s="472"/>
      <c r="AR27" s="472"/>
      <c r="AS27" s="472"/>
      <c r="AT27" s="473"/>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77"/>
      <c r="BW27" s="77"/>
      <c r="BX27" s="77"/>
    </row>
    <row r="28" spans="1:76" ht="15" customHeight="1" x14ac:dyDescent="0.25">
      <c r="A28" s="77"/>
      <c r="B28" s="390"/>
      <c r="C28" s="390"/>
      <c r="D28" s="391"/>
      <c r="E28" s="431"/>
      <c r="F28" s="432"/>
      <c r="G28" s="432"/>
      <c r="H28" s="432"/>
      <c r="I28" s="433"/>
      <c r="J28" s="61" t="e">
        <f>IF(AND(Riesgos!#REF!="Media",Riesgos!#REF!="Leve"),CONCATENATE("R3C",Riesgos!#REF!),"")</f>
        <v>#REF!</v>
      </c>
      <c r="K28" s="62" t="e">
        <f>IF(AND(Riesgos!#REF!="Media",Riesgos!#REF!="Leve"),CONCATENATE("R3C",Riesgos!#REF!),"")</f>
        <v>#REF!</v>
      </c>
      <c r="L28" s="62" t="e">
        <f>IF(AND(Riesgos!#REF!="Media",Riesgos!#REF!="Leve"),CONCATENATE("R3C",Riesgos!#REF!),"")</f>
        <v>#REF!</v>
      </c>
      <c r="M28" s="62" t="e">
        <f>IF(AND(Riesgos!#REF!="Media",Riesgos!#REF!="Leve"),CONCATENATE("R3C",Riesgos!#REF!),"")</f>
        <v>#REF!</v>
      </c>
      <c r="N28" s="62" t="e">
        <f>IF(AND(Riesgos!#REF!="Media",Riesgos!#REF!="Leve"),CONCATENATE("R3C",Riesgos!#REF!),"")</f>
        <v>#REF!</v>
      </c>
      <c r="O28" s="63" t="e">
        <f>IF(AND(Riesgos!#REF!="Media",Riesgos!#REF!="Leve"),CONCATENATE("R3C",Riesgos!#REF!),"")</f>
        <v>#REF!</v>
      </c>
      <c r="P28" s="61" t="e">
        <f>IF(AND(Riesgos!#REF!="Media",Riesgos!#REF!="Menor"),CONCATENATE("R3C",Riesgos!#REF!),"")</f>
        <v>#REF!</v>
      </c>
      <c r="Q28" s="62" t="e">
        <f>IF(AND(Riesgos!#REF!="Media",Riesgos!#REF!="Menor"),CONCATENATE("R3C",Riesgos!#REF!),"")</f>
        <v>#REF!</v>
      </c>
      <c r="R28" s="62" t="e">
        <f>IF(AND(Riesgos!#REF!="Media",Riesgos!#REF!="Menor"),CONCATENATE("R3C",Riesgos!#REF!),"")</f>
        <v>#REF!</v>
      </c>
      <c r="S28" s="62" t="e">
        <f>IF(AND(Riesgos!#REF!="Media",Riesgos!#REF!="Menor"),CONCATENATE("R3C",Riesgos!#REF!),"")</f>
        <v>#REF!</v>
      </c>
      <c r="T28" s="62" t="e">
        <f>IF(AND(Riesgos!#REF!="Media",Riesgos!#REF!="Menor"),CONCATENATE("R3C",Riesgos!#REF!),"")</f>
        <v>#REF!</v>
      </c>
      <c r="U28" s="63" t="e">
        <f>IF(AND(Riesgos!#REF!="Media",Riesgos!#REF!="Menor"),CONCATENATE("R3C",Riesgos!#REF!),"")</f>
        <v>#REF!</v>
      </c>
      <c r="V28" s="61" t="e">
        <f>IF(AND(Riesgos!#REF!="Media",Riesgos!#REF!="Moderado"),CONCATENATE("R3C",Riesgos!#REF!),"")</f>
        <v>#REF!</v>
      </c>
      <c r="W28" s="62" t="e">
        <f>IF(AND(Riesgos!#REF!="Media",Riesgos!#REF!="Moderado"),CONCATENATE("R3C",Riesgos!#REF!),"")</f>
        <v>#REF!</v>
      </c>
      <c r="X28" s="62" t="e">
        <f>IF(AND(Riesgos!#REF!="Media",Riesgos!#REF!="Moderado"),CONCATENATE("R3C",Riesgos!#REF!),"")</f>
        <v>#REF!</v>
      </c>
      <c r="Y28" s="62" t="e">
        <f>IF(AND(Riesgos!#REF!="Media",Riesgos!#REF!="Moderado"),CONCATENATE("R3C",Riesgos!#REF!),"")</f>
        <v>#REF!</v>
      </c>
      <c r="Z28" s="62" t="e">
        <f>IF(AND(Riesgos!#REF!="Media",Riesgos!#REF!="Moderado"),CONCATENATE("R3C",Riesgos!#REF!),"")</f>
        <v>#REF!</v>
      </c>
      <c r="AA28" s="63" t="e">
        <f>IF(AND(Riesgos!#REF!="Media",Riesgos!#REF!="Moderado"),CONCATENATE("R3C",Riesgos!#REF!),"")</f>
        <v>#REF!</v>
      </c>
      <c r="AB28" s="46" t="e">
        <f>IF(AND(Riesgos!#REF!="Media",Riesgos!#REF!="Mayor"),CONCATENATE("R3C",Riesgos!#REF!),"")</f>
        <v>#REF!</v>
      </c>
      <c r="AC28" s="47" t="e">
        <f>IF(AND(Riesgos!#REF!="Media",Riesgos!#REF!="Mayor"),CONCATENATE("R3C",Riesgos!#REF!),"")</f>
        <v>#REF!</v>
      </c>
      <c r="AD28" s="47" t="e">
        <f>IF(AND(Riesgos!#REF!="Media",Riesgos!#REF!="Mayor"),CONCATENATE("R3C",Riesgos!#REF!),"")</f>
        <v>#REF!</v>
      </c>
      <c r="AE28" s="47" t="e">
        <f>IF(AND(Riesgos!#REF!="Media",Riesgos!#REF!="Mayor"),CONCATENATE("R3C",Riesgos!#REF!),"")</f>
        <v>#REF!</v>
      </c>
      <c r="AF28" s="47" t="e">
        <f>IF(AND(Riesgos!#REF!="Media",Riesgos!#REF!="Mayor"),CONCATENATE("R3C",Riesgos!#REF!),"")</f>
        <v>#REF!</v>
      </c>
      <c r="AG28" s="48" t="e">
        <f>IF(AND(Riesgos!#REF!="Media",Riesgos!#REF!="Mayor"),CONCATENATE("R3C",Riesgos!#REF!),"")</f>
        <v>#REF!</v>
      </c>
      <c r="AH28" s="49" t="e">
        <f>IF(AND(Riesgos!#REF!="Media",Riesgos!#REF!="Catastrófico"),CONCATENATE("R3C",Riesgos!#REF!),"")</f>
        <v>#REF!</v>
      </c>
      <c r="AI28" s="50" t="e">
        <f>IF(AND(Riesgos!#REF!="Media",Riesgos!#REF!="Catastrófico"),CONCATENATE("R3C",Riesgos!#REF!),"")</f>
        <v>#REF!</v>
      </c>
      <c r="AJ28" s="50" t="e">
        <f>IF(AND(Riesgos!#REF!="Media",Riesgos!#REF!="Catastrófico"),CONCATENATE("R3C",Riesgos!#REF!),"")</f>
        <v>#REF!</v>
      </c>
      <c r="AK28" s="50" t="e">
        <f>IF(AND(Riesgos!#REF!="Media",Riesgos!#REF!="Catastrófico"),CONCATENATE("R3C",Riesgos!#REF!),"")</f>
        <v>#REF!</v>
      </c>
      <c r="AL28" s="50" t="e">
        <f>IF(AND(Riesgos!#REF!="Media",Riesgos!#REF!="Catastrófico"),CONCATENATE("R3C",Riesgos!#REF!),"")</f>
        <v>#REF!</v>
      </c>
      <c r="AM28" s="51" t="e">
        <f>IF(AND(Riesgos!#REF!="Media",Riesgos!#REF!="Catastrófico"),CONCATENATE("R3C",Riesgos!#REF!),"")</f>
        <v>#REF!</v>
      </c>
      <c r="AN28" s="77"/>
      <c r="AO28" s="471"/>
      <c r="AP28" s="472"/>
      <c r="AQ28" s="472"/>
      <c r="AR28" s="472"/>
      <c r="AS28" s="472"/>
      <c r="AT28" s="473"/>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77"/>
      <c r="BU28" s="77"/>
      <c r="BV28" s="77"/>
      <c r="BW28" s="77"/>
      <c r="BX28" s="77"/>
    </row>
    <row r="29" spans="1:76" ht="15" customHeight="1" x14ac:dyDescent="0.25">
      <c r="A29" s="77"/>
      <c r="B29" s="390"/>
      <c r="C29" s="390"/>
      <c r="D29" s="391"/>
      <c r="E29" s="431"/>
      <c r="F29" s="432"/>
      <c r="G29" s="432"/>
      <c r="H29" s="432"/>
      <c r="I29" s="433"/>
      <c r="J29" s="61" t="str">
        <f>IF(AND(Riesgos!$AB$22="Media",Riesgos!$AD$22="Leve"),CONCATENATE("R4C",Riesgos!$R$22),"")</f>
        <v/>
      </c>
      <c r="K29" s="62" t="str">
        <f>IF(AND(Riesgos!$AB$23="Media",Riesgos!$AD$23="Leve"),CONCATENATE("R4C",Riesgos!$R$23),"")</f>
        <v/>
      </c>
      <c r="L29" s="62" t="str">
        <f>IF(AND(Riesgos!$AB$24="Media",Riesgos!$AD$24="Leve"),CONCATENATE("R4C",Riesgos!$R$24),"")</f>
        <v/>
      </c>
      <c r="M29" s="62" t="str">
        <f>IF(AND(Riesgos!$AB$25="Media",Riesgos!$AD$25="Leve"),CONCATENATE("R4C",Riesgos!$R$25),"")</f>
        <v/>
      </c>
      <c r="N29" s="62" t="str">
        <f>IF(AND(Riesgos!$AB$26="Media",Riesgos!$AD$26="Leve"),CONCATENATE("R4C",Riesgos!$R$26),"")</f>
        <v/>
      </c>
      <c r="O29" s="63" t="str">
        <f>IF(AND(Riesgos!$AB$27="Media",Riesgos!$AD$27="Leve"),CONCATENATE("R4C",Riesgos!$R$27),"")</f>
        <v/>
      </c>
      <c r="P29" s="61" t="str">
        <f>IF(AND(Riesgos!$AB$22="Media",Riesgos!$AD$22="Menor"),CONCATENATE("R4C",Riesgos!$R$22),"")</f>
        <v/>
      </c>
      <c r="Q29" s="62" t="str">
        <f>IF(AND(Riesgos!$AB$23="Media",Riesgos!$AD$23="Menor"),CONCATENATE("R4C",Riesgos!$R$23),"")</f>
        <v/>
      </c>
      <c r="R29" s="62" t="str">
        <f>IF(AND(Riesgos!$AB$24="Media",Riesgos!$AD$24="Menor"),CONCATENATE("R4C",Riesgos!$R$24),"")</f>
        <v/>
      </c>
      <c r="S29" s="62" t="str">
        <f>IF(AND(Riesgos!$AB$25="Media",Riesgos!$AD$25="Menor"),CONCATENATE("R4C",Riesgos!$R$25),"")</f>
        <v/>
      </c>
      <c r="T29" s="62" t="str">
        <f>IF(AND(Riesgos!$AB$26="Media",Riesgos!$AD$26="Menor"),CONCATENATE("R4C",Riesgos!$R$26),"")</f>
        <v/>
      </c>
      <c r="U29" s="63" t="str">
        <f>IF(AND(Riesgos!$AB$27="Media",Riesgos!$AD$27="Menor"),CONCATENATE("R4C",Riesgos!$R$27),"")</f>
        <v/>
      </c>
      <c r="V29" s="61" t="str">
        <f>IF(AND(Riesgos!$AB$22="Media",Riesgos!$AD$22="Moderado"),CONCATENATE("R4C",Riesgos!$R$22),"")</f>
        <v/>
      </c>
      <c r="W29" s="62" t="str">
        <f>IF(AND(Riesgos!$AB$23="Media",Riesgos!$AD$23="Moderado"),CONCATENATE("R4C",Riesgos!$R$23),"")</f>
        <v/>
      </c>
      <c r="X29" s="62" t="str">
        <f>IF(AND(Riesgos!$AB$24="Media",Riesgos!$AD$24="Moderado"),CONCATENATE("R4C",Riesgos!$R$24),"")</f>
        <v/>
      </c>
      <c r="Y29" s="62" t="str">
        <f>IF(AND(Riesgos!$AB$25="Media",Riesgos!$AD$25="Moderado"),CONCATENATE("R4C",Riesgos!$R$25),"")</f>
        <v/>
      </c>
      <c r="Z29" s="62" t="str">
        <f>IF(AND(Riesgos!$AB$26="Media",Riesgos!$AD$26="Moderado"),CONCATENATE("R4C",Riesgos!$R$26),"")</f>
        <v/>
      </c>
      <c r="AA29" s="63" t="str">
        <f>IF(AND(Riesgos!$AB$27="Media",Riesgos!$AD$27="Moderado"),CONCATENATE("R4C",Riesgos!$R$27),"")</f>
        <v/>
      </c>
      <c r="AB29" s="46" t="str">
        <f>IF(AND(Riesgos!$AB$22="Media",Riesgos!$AD$22="Mayor"),CONCATENATE("R4C",Riesgos!$R$22),"")</f>
        <v>R4C1</v>
      </c>
      <c r="AC29" s="47" t="str">
        <f>IF(AND(Riesgos!$AB$23="Media",Riesgos!$AD$23="Mayor"),CONCATENATE("R4C",Riesgos!$R$23),"")</f>
        <v/>
      </c>
      <c r="AD29" s="47" t="str">
        <f>IF(AND(Riesgos!$AB$24="Media",Riesgos!$AD$24="Mayor"),CONCATENATE("R4C",Riesgos!$R$24),"")</f>
        <v/>
      </c>
      <c r="AE29" s="47" t="str">
        <f>IF(AND(Riesgos!$AB$25="Media",Riesgos!$AD$25="Mayor"),CONCATENATE("R4C",Riesgos!$R$25),"")</f>
        <v/>
      </c>
      <c r="AF29" s="47" t="str">
        <f>IF(AND(Riesgos!$AB$26="Media",Riesgos!$AD$26="Mayor"),CONCATENATE("R4C",Riesgos!$R$26),"")</f>
        <v/>
      </c>
      <c r="AG29" s="48" t="str">
        <f>IF(AND(Riesgos!$AB$27="Media",Riesgos!$AD$27="Mayor"),CONCATENATE("R4C",Riesgos!$R$27),"")</f>
        <v/>
      </c>
      <c r="AH29" s="49" t="str">
        <f>IF(AND(Riesgos!$AB$22="Media",Riesgos!$AD$22="Catastrófico"),CONCATENATE("R4C",Riesgos!$R$22),"")</f>
        <v/>
      </c>
      <c r="AI29" s="50" t="str">
        <f>IF(AND(Riesgos!$AB$23="Media",Riesgos!$AD$23="Catastrófico"),CONCATENATE("R4C",Riesgos!$R$23),"")</f>
        <v/>
      </c>
      <c r="AJ29" s="50" t="str">
        <f>IF(AND(Riesgos!$AB$24="Media",Riesgos!$AD$24="Catastrófico"),CONCATENATE("R4C",Riesgos!$R$24),"")</f>
        <v/>
      </c>
      <c r="AK29" s="50" t="str">
        <f>IF(AND(Riesgos!$AB$25="Media",Riesgos!$AD$25="Catastrófico"),CONCATENATE("R4C",Riesgos!$R$25),"")</f>
        <v/>
      </c>
      <c r="AL29" s="50" t="str">
        <f>IF(AND(Riesgos!$AB$26="Media",Riesgos!$AD$26="Catastrófico"),CONCATENATE("R4C",Riesgos!$R$26),"")</f>
        <v/>
      </c>
      <c r="AM29" s="51" t="str">
        <f>IF(AND(Riesgos!$AB$27="Media",Riesgos!$AD$27="Catastrófico"),CONCATENATE("R4C",Riesgos!$R$27),"")</f>
        <v/>
      </c>
      <c r="AN29" s="77"/>
      <c r="AO29" s="471"/>
      <c r="AP29" s="472"/>
      <c r="AQ29" s="472"/>
      <c r="AR29" s="472"/>
      <c r="AS29" s="472"/>
      <c r="AT29" s="473"/>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row>
    <row r="30" spans="1:76" ht="15" customHeight="1" x14ac:dyDescent="0.25">
      <c r="A30" s="77"/>
      <c r="B30" s="390"/>
      <c r="C30" s="390"/>
      <c r="D30" s="391"/>
      <c r="E30" s="431"/>
      <c r="F30" s="432"/>
      <c r="G30" s="432"/>
      <c r="H30" s="432"/>
      <c r="I30" s="433"/>
      <c r="J30" s="61" t="str">
        <f>IF(AND(Riesgos!$AB$28="Media",Riesgos!$AD$28="Leve"),CONCATENATE("R5C",Riesgos!$R$28),"")</f>
        <v/>
      </c>
      <c r="K30" s="62" t="str">
        <f>IF(AND(Riesgos!$AB$29="Media",Riesgos!$AD$29="Leve"),CONCATENATE("R5C",Riesgos!$R$29),"")</f>
        <v/>
      </c>
      <c r="L30" s="62" t="str">
        <f>IF(AND(Riesgos!$AB$30="Media",Riesgos!$AD$30="Leve"),CONCATENATE("R5C",Riesgos!$R$30),"")</f>
        <v/>
      </c>
      <c r="M30" s="62" t="str">
        <f>IF(AND(Riesgos!$AB$31="Media",Riesgos!$AD$31="Leve"),CONCATENATE("R5C",Riesgos!$R$31),"")</f>
        <v/>
      </c>
      <c r="N30" s="62" t="str">
        <f>IF(AND(Riesgos!$AB$32="Media",Riesgos!$AD$32="Leve"),CONCATENATE("R5C",Riesgos!$R$32),"")</f>
        <v/>
      </c>
      <c r="O30" s="63" t="str">
        <f>IF(AND(Riesgos!$AB$33="Media",Riesgos!$AD$33="Leve"),CONCATENATE("R5C",Riesgos!$R$33),"")</f>
        <v/>
      </c>
      <c r="P30" s="61" t="str">
        <f>IF(AND(Riesgos!$AB$28="Media",Riesgos!$AD$28="Menor"),CONCATENATE("R5C",Riesgos!$R$28),"")</f>
        <v/>
      </c>
      <c r="Q30" s="62" t="str">
        <f>IF(AND(Riesgos!$AB$29="Media",Riesgos!$AD$29="Menor"),CONCATENATE("R5C",Riesgos!$R$29),"")</f>
        <v/>
      </c>
      <c r="R30" s="62" t="str">
        <f>IF(AND(Riesgos!$AB$30="Media",Riesgos!$AD$30="Menor"),CONCATENATE("R5C",Riesgos!$R$30),"")</f>
        <v/>
      </c>
      <c r="S30" s="62" t="str">
        <f>IF(AND(Riesgos!$AB$31="Media",Riesgos!$AD$31="Menor"),CONCATENATE("R5C",Riesgos!$R$31),"")</f>
        <v/>
      </c>
      <c r="T30" s="62" t="str">
        <f>IF(AND(Riesgos!$AB$32="Media",Riesgos!$AD$32="Menor"),CONCATENATE("R5C",Riesgos!$R$32),"")</f>
        <v/>
      </c>
      <c r="U30" s="63" t="str">
        <f>IF(AND(Riesgos!$AB$33="Media",Riesgos!$AD$33="Menor"),CONCATENATE("R5C",Riesgos!$R$33),"")</f>
        <v/>
      </c>
      <c r="V30" s="61" t="str">
        <f>IF(AND(Riesgos!$AB$28="Media",Riesgos!$AD$28="Moderado"),CONCATENATE("R5C",Riesgos!$R$28),"")</f>
        <v/>
      </c>
      <c r="W30" s="62" t="str">
        <f>IF(AND(Riesgos!$AB$29="Media",Riesgos!$AD$29="Moderado"),CONCATENATE("R5C",Riesgos!$R$29),"")</f>
        <v/>
      </c>
      <c r="X30" s="62" t="str">
        <f>IF(AND(Riesgos!$AB$30="Media",Riesgos!$AD$30="Moderado"),CONCATENATE("R5C",Riesgos!$R$30),"")</f>
        <v/>
      </c>
      <c r="Y30" s="62" t="str">
        <f>IF(AND(Riesgos!$AB$31="Media",Riesgos!$AD$31="Moderado"),CONCATENATE("R5C",Riesgos!$R$31),"")</f>
        <v/>
      </c>
      <c r="Z30" s="62" t="str">
        <f>IF(AND(Riesgos!$AB$32="Media",Riesgos!$AD$32="Moderado"),CONCATENATE("R5C",Riesgos!$R$32),"")</f>
        <v/>
      </c>
      <c r="AA30" s="63" t="str">
        <f>IF(AND(Riesgos!$AB$33="Media",Riesgos!$AD$33="Moderado"),CONCATENATE("R5C",Riesgos!$R$33),"")</f>
        <v/>
      </c>
      <c r="AB30" s="46" t="str">
        <f>IF(AND(Riesgos!$AB$28="Media",Riesgos!$AD$28="Mayor"),CONCATENATE("R5C",Riesgos!$R$28),"")</f>
        <v/>
      </c>
      <c r="AC30" s="47" t="str">
        <f>IF(AND(Riesgos!$AB$29="Media",Riesgos!$AD$29="Mayor"),CONCATENATE("R5C",Riesgos!$R$29),"")</f>
        <v/>
      </c>
      <c r="AD30" s="47" t="str">
        <f>IF(AND(Riesgos!$AB$30="Media",Riesgos!$AD$30="Mayor"),CONCATENATE("R5C",Riesgos!$R$30),"")</f>
        <v/>
      </c>
      <c r="AE30" s="47" t="str">
        <f>IF(AND(Riesgos!$AB$31="Media",Riesgos!$AD$31="Mayor"),CONCATENATE("R5C",Riesgos!$R$31),"")</f>
        <v/>
      </c>
      <c r="AF30" s="47" t="str">
        <f>IF(AND(Riesgos!$AB$32="Media",Riesgos!$AD$32="Mayor"),CONCATENATE("R5C",Riesgos!$R$32),"")</f>
        <v/>
      </c>
      <c r="AG30" s="48" t="str">
        <f>IF(AND(Riesgos!$AB$33="Media",Riesgos!$AD$33="Mayor"),CONCATENATE("R5C",Riesgos!$R$33),"")</f>
        <v/>
      </c>
      <c r="AH30" s="49" t="str">
        <f>IF(AND(Riesgos!$AB$28="Media",Riesgos!$AD$28="Catastrófico"),CONCATENATE("R5C",Riesgos!$R$28),"")</f>
        <v/>
      </c>
      <c r="AI30" s="50" t="str">
        <f>IF(AND(Riesgos!$AB$29="Media",Riesgos!$AD$29="Catastrófico"),CONCATENATE("R5C",Riesgos!$R$29),"")</f>
        <v/>
      </c>
      <c r="AJ30" s="50" t="str">
        <f>IF(AND(Riesgos!$AB$30="Media",Riesgos!$AD$30="Catastrófico"),CONCATENATE("R5C",Riesgos!$R$30),"")</f>
        <v/>
      </c>
      <c r="AK30" s="50" t="str">
        <f>IF(AND(Riesgos!$AB$31="Media",Riesgos!$AD$31="Catastrófico"),CONCATENATE("R5C",Riesgos!$R$31),"")</f>
        <v/>
      </c>
      <c r="AL30" s="50" t="str">
        <f>IF(AND(Riesgos!$AB$32="Media",Riesgos!$AD$32="Catastrófico"),CONCATENATE("R5C",Riesgos!$R$32),"")</f>
        <v/>
      </c>
      <c r="AM30" s="51" t="str">
        <f>IF(AND(Riesgos!$AB$33="Media",Riesgos!$AD$33="Catastrófico"),CONCATENATE("R5C",Riesgos!$R$33),"")</f>
        <v/>
      </c>
      <c r="AN30" s="77"/>
      <c r="AO30" s="471"/>
      <c r="AP30" s="472"/>
      <c r="AQ30" s="472"/>
      <c r="AR30" s="472"/>
      <c r="AS30" s="472"/>
      <c r="AT30" s="473"/>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7"/>
      <c r="BS30" s="77"/>
      <c r="BT30" s="77"/>
      <c r="BU30" s="77"/>
      <c r="BV30" s="77"/>
      <c r="BW30" s="77"/>
      <c r="BX30" s="77"/>
    </row>
    <row r="31" spans="1:76" ht="15" customHeight="1" x14ac:dyDescent="0.25">
      <c r="A31" s="77"/>
      <c r="B31" s="390"/>
      <c r="C31" s="390"/>
      <c r="D31" s="391"/>
      <c r="E31" s="431"/>
      <c r="F31" s="432"/>
      <c r="G31" s="432"/>
      <c r="H31" s="432"/>
      <c r="I31" s="433"/>
      <c r="J31" s="61" t="str">
        <f>IF(AND(Riesgos!$AB$34="Media",Riesgos!$AD$34="Leve"),CONCATENATE("R6C",Riesgos!$R$34),"")</f>
        <v/>
      </c>
      <c r="K31" s="62" t="str">
        <f>IF(AND(Riesgos!$AB$35="Media",Riesgos!$AD$35="Leve"),CONCATENATE("R6C",Riesgos!$R$35),"")</f>
        <v/>
      </c>
      <c r="L31" s="62" t="str">
        <f>IF(AND(Riesgos!$AB$36="Media",Riesgos!$AD$36="Leve"),CONCATENATE("R6C",Riesgos!$R$36),"")</f>
        <v/>
      </c>
      <c r="M31" s="62" t="str">
        <f>IF(AND(Riesgos!$AB$37="Media",Riesgos!$AD$37="Leve"),CONCATENATE("R6C",Riesgos!$R$37),"")</f>
        <v/>
      </c>
      <c r="N31" s="62" t="str">
        <f>IF(AND(Riesgos!$AB$38="Media",Riesgos!$AD$38="Leve"),CONCATENATE("R6C",Riesgos!$R$38),"")</f>
        <v/>
      </c>
      <c r="O31" s="63" t="str">
        <f>IF(AND(Riesgos!$AB$39="Media",Riesgos!$AD$39="Leve"),CONCATENATE("R6C",Riesgos!$R$39),"")</f>
        <v/>
      </c>
      <c r="P31" s="61" t="str">
        <f>IF(AND(Riesgos!$AB$34="Media",Riesgos!$AD$34="Menor"),CONCATENATE("R6C",Riesgos!$R$34),"")</f>
        <v/>
      </c>
      <c r="Q31" s="62" t="str">
        <f>IF(AND(Riesgos!$AB$35="Media",Riesgos!$AD$35="Menor"),CONCATENATE("R6C",Riesgos!$R$35),"")</f>
        <v/>
      </c>
      <c r="R31" s="62" t="str">
        <f>IF(AND(Riesgos!$AB$36="Media",Riesgos!$AD$36="Menor"),CONCATENATE("R6C",Riesgos!$R$36),"")</f>
        <v/>
      </c>
      <c r="S31" s="62" t="str">
        <f>IF(AND(Riesgos!$AB$37="Media",Riesgos!$AD$37="Menor"),CONCATENATE("R6C",Riesgos!$R$37),"")</f>
        <v/>
      </c>
      <c r="T31" s="62" t="str">
        <f>IF(AND(Riesgos!$AB$38="Media",Riesgos!$AD$38="Menor"),CONCATENATE("R6C",Riesgos!$R$38),"")</f>
        <v/>
      </c>
      <c r="U31" s="63" t="str">
        <f>IF(AND(Riesgos!$AB$39="Media",Riesgos!$AD$39="Menor"),CONCATENATE("R6C",Riesgos!$R$39),"")</f>
        <v/>
      </c>
      <c r="V31" s="61" t="str">
        <f>IF(AND(Riesgos!$AB$34="Media",Riesgos!$AD$34="Moderado"),CONCATENATE("R6C",Riesgos!$R$34),"")</f>
        <v>R6C1</v>
      </c>
      <c r="W31" s="62" t="str">
        <f>IF(AND(Riesgos!$AB$35="Media",Riesgos!$AD$35="Moderado"),CONCATENATE("R6C",Riesgos!$R$35),"")</f>
        <v/>
      </c>
      <c r="X31" s="62" t="str">
        <f>IF(AND(Riesgos!$AB$36="Media",Riesgos!$AD$36="Moderado"),CONCATENATE("R6C",Riesgos!$R$36),"")</f>
        <v/>
      </c>
      <c r="Y31" s="62" t="str">
        <f>IF(AND(Riesgos!$AB$37="Media",Riesgos!$AD$37="Moderado"),CONCATENATE("R6C",Riesgos!$R$37),"")</f>
        <v/>
      </c>
      <c r="Z31" s="62" t="str">
        <f>IF(AND(Riesgos!$AB$38="Media",Riesgos!$AD$38="Moderado"),CONCATENATE("R6C",Riesgos!$R$38),"")</f>
        <v/>
      </c>
      <c r="AA31" s="63" t="str">
        <f>IF(AND(Riesgos!$AB$39="Media",Riesgos!$AD$39="Moderado"),CONCATENATE("R6C",Riesgos!$R$39),"")</f>
        <v/>
      </c>
      <c r="AB31" s="46" t="str">
        <f>IF(AND(Riesgos!$AB$34="Media",Riesgos!$AD$34="Mayor"),CONCATENATE("R6C",Riesgos!$R$34),"")</f>
        <v/>
      </c>
      <c r="AC31" s="47" t="str">
        <f>IF(AND(Riesgos!$AB$35="Media",Riesgos!$AD$35="Mayor"),CONCATENATE("R6C",Riesgos!$R$35),"")</f>
        <v/>
      </c>
      <c r="AD31" s="47" t="str">
        <f>IF(AND(Riesgos!$AB$36="Media",Riesgos!$AD$36="Mayor"),CONCATENATE("R6C",Riesgos!$R$36),"")</f>
        <v/>
      </c>
      <c r="AE31" s="47" t="str">
        <f>IF(AND(Riesgos!$AB$37="Media",Riesgos!$AD$37="Mayor"),CONCATENATE("R6C",Riesgos!$R$37),"")</f>
        <v/>
      </c>
      <c r="AF31" s="47" t="str">
        <f>IF(AND(Riesgos!$AB$38="Media",Riesgos!$AD$38="Mayor"),CONCATENATE("R6C",Riesgos!$R$38),"")</f>
        <v/>
      </c>
      <c r="AG31" s="48" t="str">
        <f>IF(AND(Riesgos!$AB$39="Media",Riesgos!$AD$39="Mayor"),CONCATENATE("R6C",Riesgos!$R$39),"")</f>
        <v/>
      </c>
      <c r="AH31" s="49" t="str">
        <f>IF(AND(Riesgos!$AB$34="Media",Riesgos!$AD$34="Catastrófico"),CONCATENATE("R6C",Riesgos!$R$34),"")</f>
        <v/>
      </c>
      <c r="AI31" s="50" t="str">
        <f>IF(AND(Riesgos!$AB$35="Media",Riesgos!$AD$35="Catastrófico"),CONCATENATE("R6C",Riesgos!$R$35),"")</f>
        <v/>
      </c>
      <c r="AJ31" s="50" t="str">
        <f>IF(AND(Riesgos!$AB$36="Media",Riesgos!$AD$36="Catastrófico"),CONCATENATE("R6C",Riesgos!$R$36),"")</f>
        <v/>
      </c>
      <c r="AK31" s="50" t="str">
        <f>IF(AND(Riesgos!$AB$37="Media",Riesgos!$AD$37="Catastrófico"),CONCATENATE("R6C",Riesgos!$R$37),"")</f>
        <v/>
      </c>
      <c r="AL31" s="50" t="str">
        <f>IF(AND(Riesgos!$AB$38="Media",Riesgos!$AD$38="Catastrófico"),CONCATENATE("R6C",Riesgos!$R$38),"")</f>
        <v/>
      </c>
      <c r="AM31" s="51" t="str">
        <f>IF(AND(Riesgos!$AB$39="Media",Riesgos!$AD$39="Catastrófico"),CONCATENATE("R6C",Riesgos!$R$39),"")</f>
        <v/>
      </c>
      <c r="AN31" s="77"/>
      <c r="AO31" s="471"/>
      <c r="AP31" s="472"/>
      <c r="AQ31" s="472"/>
      <c r="AR31" s="472"/>
      <c r="AS31" s="472"/>
      <c r="AT31" s="473"/>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7"/>
      <c r="BU31" s="77"/>
      <c r="BV31" s="77"/>
      <c r="BW31" s="77"/>
      <c r="BX31" s="77"/>
    </row>
    <row r="32" spans="1:76" ht="15" customHeight="1" x14ac:dyDescent="0.25">
      <c r="A32" s="77"/>
      <c r="B32" s="390"/>
      <c r="C32" s="390"/>
      <c r="D32" s="391"/>
      <c r="E32" s="431"/>
      <c r="F32" s="432"/>
      <c r="G32" s="432"/>
      <c r="H32" s="432"/>
      <c r="I32" s="433"/>
      <c r="J32" s="61" t="str">
        <f>IF(AND(Riesgos!$AB$40="Media",Riesgos!$AD$40="Leve"),CONCATENATE("R7C",Riesgos!$R$40),"")</f>
        <v/>
      </c>
      <c r="K32" s="62" t="str">
        <f>IF(AND(Riesgos!$AB$41="Media",Riesgos!$AD$41="Leve"),CONCATENATE("R7C",Riesgos!$R$41),"")</f>
        <v/>
      </c>
      <c r="L32" s="62" t="str">
        <f>IF(AND(Riesgos!$AB$42="Media",Riesgos!$AD$42="Leve"),CONCATENATE("R7C",Riesgos!$R$42),"")</f>
        <v/>
      </c>
      <c r="M32" s="62" t="str">
        <f>IF(AND(Riesgos!$AB$43="Media",Riesgos!$AD$43="Leve"),CONCATENATE("R7C",Riesgos!$R$43),"")</f>
        <v/>
      </c>
      <c r="N32" s="62" t="str">
        <f>IF(AND(Riesgos!$AB$44="Media",Riesgos!$AD$44="Leve"),CONCATENATE("R7C",Riesgos!$R$44),"")</f>
        <v/>
      </c>
      <c r="O32" s="63" t="str">
        <f>IF(AND(Riesgos!$AB$45="Media",Riesgos!$AD$45="Leve"),CONCATENATE("R7C",Riesgos!$R$45),"")</f>
        <v/>
      </c>
      <c r="P32" s="61" t="str">
        <f>IF(AND(Riesgos!$AB$40="Media",Riesgos!$AD$40="Menor"),CONCATENATE("R7C",Riesgos!$R$40),"")</f>
        <v/>
      </c>
      <c r="Q32" s="62" t="str">
        <f>IF(AND(Riesgos!$AB$41="Media",Riesgos!$AD$41="Menor"),CONCATENATE("R7C",Riesgos!$R$41),"")</f>
        <v/>
      </c>
      <c r="R32" s="62" t="str">
        <f>IF(AND(Riesgos!$AB$42="Media",Riesgos!$AD$42="Menor"),CONCATENATE("R7C",Riesgos!$R$42),"")</f>
        <v/>
      </c>
      <c r="S32" s="62" t="str">
        <f>IF(AND(Riesgos!$AB$43="Media",Riesgos!$AD$43="Menor"),CONCATENATE("R7C",Riesgos!$R$43),"")</f>
        <v/>
      </c>
      <c r="T32" s="62" t="str">
        <f>IF(AND(Riesgos!$AB$44="Media",Riesgos!$AD$44="Menor"),CONCATENATE("R7C",Riesgos!$R$44),"")</f>
        <v/>
      </c>
      <c r="U32" s="63" t="str">
        <f>IF(AND(Riesgos!$AB$45="Media",Riesgos!$AD$45="Menor"),CONCATENATE("R7C",Riesgos!$R$45),"")</f>
        <v/>
      </c>
      <c r="V32" s="61" t="str">
        <f>IF(AND(Riesgos!$AB$40="Media",Riesgos!$AD$40="Moderado"),CONCATENATE("R7C",Riesgos!$R$40),"")</f>
        <v/>
      </c>
      <c r="W32" s="62" t="str">
        <f>IF(AND(Riesgos!$AB$41="Media",Riesgos!$AD$41="Moderado"),CONCATENATE("R7C",Riesgos!$R$41),"")</f>
        <v/>
      </c>
      <c r="X32" s="62" t="str">
        <f>IF(AND(Riesgos!$AB$42="Media",Riesgos!$AD$42="Moderado"),CONCATENATE("R7C",Riesgos!$R$42),"")</f>
        <v/>
      </c>
      <c r="Y32" s="62" t="str">
        <f>IF(AND(Riesgos!$AB$43="Media",Riesgos!$AD$43="Moderado"),CONCATENATE("R7C",Riesgos!$R$43),"")</f>
        <v/>
      </c>
      <c r="Z32" s="62" t="str">
        <f>IF(AND(Riesgos!$AB$44="Media",Riesgos!$AD$44="Moderado"),CONCATENATE("R7C",Riesgos!$R$44),"")</f>
        <v/>
      </c>
      <c r="AA32" s="63" t="str">
        <f>IF(AND(Riesgos!$AB$45="Media",Riesgos!$AD$45="Moderado"),CONCATENATE("R7C",Riesgos!$R$45),"")</f>
        <v/>
      </c>
      <c r="AB32" s="46" t="str">
        <f>IF(AND(Riesgos!$AB$40="Media",Riesgos!$AD$40="Mayor"),CONCATENATE("R7C",Riesgos!$R$40),"")</f>
        <v/>
      </c>
      <c r="AC32" s="47" t="str">
        <f>IF(AND(Riesgos!$AB$41="Media",Riesgos!$AD$41="Mayor"),CONCATENATE("R7C",Riesgos!$R$41),"")</f>
        <v/>
      </c>
      <c r="AD32" s="47" t="str">
        <f>IF(AND(Riesgos!$AB$42="Media",Riesgos!$AD$42="Mayor"),CONCATENATE("R7C",Riesgos!$R$42),"")</f>
        <v/>
      </c>
      <c r="AE32" s="47" t="str">
        <f>IF(AND(Riesgos!$AB$43="Media",Riesgos!$AD$43="Mayor"),CONCATENATE("R7C",Riesgos!$R$43),"")</f>
        <v/>
      </c>
      <c r="AF32" s="47" t="str">
        <f>IF(AND(Riesgos!$AB$44="Media",Riesgos!$AD$44="Mayor"),CONCATENATE("R7C",Riesgos!$R$44),"")</f>
        <v/>
      </c>
      <c r="AG32" s="48" t="str">
        <f>IF(AND(Riesgos!$AB$45="Media",Riesgos!$AD$45="Mayor"),CONCATENATE("R7C",Riesgos!$R$45),"")</f>
        <v/>
      </c>
      <c r="AH32" s="49" t="str">
        <f>IF(AND(Riesgos!$AB$40="Media",Riesgos!$AD$40="Catastrófico"),CONCATENATE("R7C",Riesgos!$R$40),"")</f>
        <v/>
      </c>
      <c r="AI32" s="50" t="str">
        <f>IF(AND(Riesgos!$AB$41="Media",Riesgos!$AD$41="Catastrófico"),CONCATENATE("R7C",Riesgos!$R$41),"")</f>
        <v/>
      </c>
      <c r="AJ32" s="50" t="str">
        <f>IF(AND(Riesgos!$AB$42="Media",Riesgos!$AD$42="Catastrófico"),CONCATENATE("R7C",Riesgos!$R$42),"")</f>
        <v/>
      </c>
      <c r="AK32" s="50" t="str">
        <f>IF(AND(Riesgos!$AB$43="Media",Riesgos!$AD$43="Catastrófico"),CONCATENATE("R7C",Riesgos!$R$43),"")</f>
        <v/>
      </c>
      <c r="AL32" s="50" t="str">
        <f>IF(AND(Riesgos!$AB$44="Media",Riesgos!$AD$44="Catastrófico"),CONCATENATE("R7C",Riesgos!$R$44),"")</f>
        <v/>
      </c>
      <c r="AM32" s="51" t="str">
        <f>IF(AND(Riesgos!$AB$45="Media",Riesgos!$AD$45="Catastrófico"),CONCATENATE("R7C",Riesgos!$R$45),"")</f>
        <v/>
      </c>
      <c r="AN32" s="77"/>
      <c r="AO32" s="471"/>
      <c r="AP32" s="472"/>
      <c r="AQ32" s="472"/>
      <c r="AR32" s="472"/>
      <c r="AS32" s="472"/>
      <c r="AT32" s="473"/>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7"/>
      <c r="BT32" s="77"/>
      <c r="BU32" s="77"/>
      <c r="BV32" s="77"/>
      <c r="BW32" s="77"/>
      <c r="BX32" s="77"/>
    </row>
    <row r="33" spans="1:80" ht="15" customHeight="1" x14ac:dyDescent="0.25">
      <c r="A33" s="77"/>
      <c r="B33" s="390"/>
      <c r="C33" s="390"/>
      <c r="D33" s="391"/>
      <c r="E33" s="431"/>
      <c r="F33" s="432"/>
      <c r="G33" s="432"/>
      <c r="H33" s="432"/>
      <c r="I33" s="433"/>
      <c r="J33" s="61" t="str">
        <f>IF(AND(Riesgos!$AB$46="Media",Riesgos!$AD$46="Leve"),CONCATENATE("R8C",Riesgos!$R$46),"")</f>
        <v/>
      </c>
      <c r="K33" s="62" t="str">
        <f>IF(AND(Riesgos!$AB$47="Media",Riesgos!$AD$47="Leve"),CONCATENATE("R8C",Riesgos!$R$47),"")</f>
        <v/>
      </c>
      <c r="L33" s="62" t="str">
        <f>IF(AND(Riesgos!$AB$48="Media",Riesgos!$AD$48="Leve"),CONCATENATE("R8C",Riesgos!$R$48),"")</f>
        <v/>
      </c>
      <c r="M33" s="62" t="str">
        <f>IF(AND(Riesgos!$AB$49="Media",Riesgos!$AD$49="Leve"),CONCATENATE("R8C",Riesgos!$R$49),"")</f>
        <v/>
      </c>
      <c r="N33" s="62" t="str">
        <f>IF(AND(Riesgos!$AB$50="Media",Riesgos!$AD$50="Leve"),CONCATENATE("R8C",Riesgos!$R$50),"")</f>
        <v/>
      </c>
      <c r="O33" s="63" t="str">
        <f>IF(AND(Riesgos!$AB$51="Media",Riesgos!$AD$51="Leve"),CONCATENATE("R8C",Riesgos!$R$51),"")</f>
        <v/>
      </c>
      <c r="P33" s="61" t="str">
        <f>IF(AND(Riesgos!$AB$46="Media",Riesgos!$AD$46="Menor"),CONCATENATE("R8C",Riesgos!$R$46),"")</f>
        <v/>
      </c>
      <c r="Q33" s="62" t="str">
        <f>IF(AND(Riesgos!$AB$47="Media",Riesgos!$AD$47="Menor"),CONCATENATE("R8C",Riesgos!$R$47),"")</f>
        <v/>
      </c>
      <c r="R33" s="62" t="str">
        <f>IF(AND(Riesgos!$AB$48="Media",Riesgos!$AD$48="Menor"),CONCATENATE("R8C",Riesgos!$R$48),"")</f>
        <v/>
      </c>
      <c r="S33" s="62" t="str">
        <f>IF(AND(Riesgos!$AB$49="Media",Riesgos!$AD$49="Menor"),CONCATENATE("R8C",Riesgos!$R$49),"")</f>
        <v/>
      </c>
      <c r="T33" s="62" t="str">
        <f>IF(AND(Riesgos!$AB$50="Media",Riesgos!$AD$50="Menor"),CONCATENATE("R8C",Riesgos!$R$50),"")</f>
        <v/>
      </c>
      <c r="U33" s="63" t="str">
        <f>IF(AND(Riesgos!$AB$51="Media",Riesgos!$AD$51="Menor"),CONCATENATE("R8C",Riesgos!$R$51),"")</f>
        <v/>
      </c>
      <c r="V33" s="61" t="str">
        <f>IF(AND(Riesgos!$AB$46="Media",Riesgos!$AD$46="Moderado"),CONCATENATE("R8C",Riesgos!$R$46),"")</f>
        <v/>
      </c>
      <c r="W33" s="62" t="str">
        <f>IF(AND(Riesgos!$AB$47="Media",Riesgos!$AD$47="Moderado"),CONCATENATE("R8C",Riesgos!$R$47),"")</f>
        <v/>
      </c>
      <c r="X33" s="62" t="str">
        <f>IF(AND(Riesgos!$AB$48="Media",Riesgos!$AD$48="Moderado"),CONCATENATE("R8C",Riesgos!$R$48),"")</f>
        <v/>
      </c>
      <c r="Y33" s="62" t="str">
        <f>IF(AND(Riesgos!$AB$49="Media",Riesgos!$AD$49="Moderado"),CONCATENATE("R8C",Riesgos!$R$49),"")</f>
        <v/>
      </c>
      <c r="Z33" s="62" t="str">
        <f>IF(AND(Riesgos!$AB$50="Media",Riesgos!$AD$50="Moderado"),CONCATENATE("R8C",Riesgos!$R$50),"")</f>
        <v/>
      </c>
      <c r="AA33" s="63" t="str">
        <f>IF(AND(Riesgos!$AB$51="Media",Riesgos!$AD$51="Moderado"),CONCATENATE("R8C",Riesgos!$R$51),"")</f>
        <v/>
      </c>
      <c r="AB33" s="46" t="str">
        <f>IF(AND(Riesgos!$AB$46="Media",Riesgos!$AD$46="Mayor"),CONCATENATE("R8C",Riesgos!$R$46),"")</f>
        <v/>
      </c>
      <c r="AC33" s="47" t="str">
        <f>IF(AND(Riesgos!$AB$47="Media",Riesgos!$AD$47="Mayor"),CONCATENATE("R8C",Riesgos!$R$47),"")</f>
        <v/>
      </c>
      <c r="AD33" s="47" t="str">
        <f>IF(AND(Riesgos!$AB$48="Media",Riesgos!$AD$48="Mayor"),CONCATENATE("R8C",Riesgos!$R$48),"")</f>
        <v/>
      </c>
      <c r="AE33" s="47" t="str">
        <f>IF(AND(Riesgos!$AB$49="Media",Riesgos!$AD$49="Mayor"),CONCATENATE("R8C",Riesgos!$R$49),"")</f>
        <v/>
      </c>
      <c r="AF33" s="47" t="str">
        <f>IF(AND(Riesgos!$AB$50="Media",Riesgos!$AD$50="Mayor"),CONCATENATE("R8C",Riesgos!$R$50),"")</f>
        <v/>
      </c>
      <c r="AG33" s="48" t="str">
        <f>IF(AND(Riesgos!$AB$51="Media",Riesgos!$AD$51="Mayor"),CONCATENATE("R8C",Riesgos!$R$51),"")</f>
        <v/>
      </c>
      <c r="AH33" s="49" t="str">
        <f>IF(AND(Riesgos!$AB$46="Media",Riesgos!$AD$46="Catastrófico"),CONCATENATE("R8C",Riesgos!$R$46),"")</f>
        <v/>
      </c>
      <c r="AI33" s="50" t="str">
        <f>IF(AND(Riesgos!$AB$47="Media",Riesgos!$AD$47="Catastrófico"),CONCATENATE("R8C",Riesgos!$R$47),"")</f>
        <v/>
      </c>
      <c r="AJ33" s="50" t="str">
        <f>IF(AND(Riesgos!$AB$48="Media",Riesgos!$AD$48="Catastrófico"),CONCATENATE("R8C",Riesgos!$R$48),"")</f>
        <v/>
      </c>
      <c r="AK33" s="50" t="str">
        <f>IF(AND(Riesgos!$AB$49="Media",Riesgos!$AD$49="Catastrófico"),CONCATENATE("R8C",Riesgos!$R$49),"")</f>
        <v/>
      </c>
      <c r="AL33" s="50" t="str">
        <f>IF(AND(Riesgos!$AB$50="Media",Riesgos!$AD$50="Catastrófico"),CONCATENATE("R8C",Riesgos!$R$50),"")</f>
        <v/>
      </c>
      <c r="AM33" s="51" t="str">
        <f>IF(AND(Riesgos!$AB$51="Media",Riesgos!$AD$51="Catastrófico"),CONCATENATE("R8C",Riesgos!$R$51),"")</f>
        <v/>
      </c>
      <c r="AN33" s="77"/>
      <c r="AO33" s="471"/>
      <c r="AP33" s="472"/>
      <c r="AQ33" s="472"/>
      <c r="AR33" s="472"/>
      <c r="AS33" s="472"/>
      <c r="AT33" s="473"/>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row>
    <row r="34" spans="1:80" ht="15" customHeight="1" x14ac:dyDescent="0.25">
      <c r="A34" s="77"/>
      <c r="B34" s="390"/>
      <c r="C34" s="390"/>
      <c r="D34" s="391"/>
      <c r="E34" s="431"/>
      <c r="F34" s="432"/>
      <c r="G34" s="432"/>
      <c r="H34" s="432"/>
      <c r="I34" s="433"/>
      <c r="J34" s="61" t="str">
        <f>IF(AND(Riesgos!$AB$52="Media",Riesgos!$AD$52="Leve"),CONCATENATE("R9C",Riesgos!$R$52),"")</f>
        <v/>
      </c>
      <c r="K34" s="62" t="str">
        <f>IF(AND(Riesgos!$AB$53="Media",Riesgos!$AD$53="Leve"),CONCATENATE("R9C",Riesgos!$R$53),"")</f>
        <v/>
      </c>
      <c r="L34" s="62" t="str">
        <f>IF(AND(Riesgos!$AB$54="Media",Riesgos!$AD$54="Leve"),CONCATENATE("R9C",Riesgos!$R$54),"")</f>
        <v/>
      </c>
      <c r="M34" s="62" t="str">
        <f>IF(AND(Riesgos!$AB$55="Media",Riesgos!$AD$55="Leve"),CONCATENATE("R9C",Riesgos!$R$55),"")</f>
        <v/>
      </c>
      <c r="N34" s="62" t="str">
        <f>IF(AND(Riesgos!$AB$56="Media",Riesgos!$AD$56="Leve"),CONCATENATE("R9C",Riesgos!$R$56),"")</f>
        <v/>
      </c>
      <c r="O34" s="63" t="str">
        <f>IF(AND(Riesgos!$AB$57="Media",Riesgos!$AD$57="Leve"),CONCATENATE("R9C",Riesgos!$R$57),"")</f>
        <v/>
      </c>
      <c r="P34" s="61" t="str">
        <f>IF(AND(Riesgos!$AB$52="Media",Riesgos!$AD$52="Menor"),CONCATENATE("R9C",Riesgos!$R$52),"")</f>
        <v/>
      </c>
      <c r="Q34" s="62" t="str">
        <f>IF(AND(Riesgos!$AB$53="Media",Riesgos!$AD$53="Menor"),CONCATENATE("R9C",Riesgos!$R$53),"")</f>
        <v/>
      </c>
      <c r="R34" s="62" t="str">
        <f>IF(AND(Riesgos!$AB$54="Media",Riesgos!$AD$54="Menor"),CONCATENATE("R9C",Riesgos!$R$54),"")</f>
        <v/>
      </c>
      <c r="S34" s="62" t="str">
        <f>IF(AND(Riesgos!$AB$55="Media",Riesgos!$AD$55="Menor"),CONCATENATE("R9C",Riesgos!$R$55),"")</f>
        <v/>
      </c>
      <c r="T34" s="62" t="str">
        <f>IF(AND(Riesgos!$AB$56="Media",Riesgos!$AD$56="Menor"),CONCATENATE("R9C",Riesgos!$R$56),"")</f>
        <v/>
      </c>
      <c r="U34" s="63" t="str">
        <f>IF(AND(Riesgos!$AB$57="Media",Riesgos!$AD$57="Menor"),CONCATENATE("R9C",Riesgos!$R$57),"")</f>
        <v/>
      </c>
      <c r="V34" s="61" t="str">
        <f>IF(AND(Riesgos!$AB$52="Media",Riesgos!$AD$52="Moderado"),CONCATENATE("R9C",Riesgos!$R$52),"")</f>
        <v/>
      </c>
      <c r="W34" s="62" t="str">
        <f>IF(AND(Riesgos!$AB$53="Media",Riesgos!$AD$53="Moderado"),CONCATENATE("R9C",Riesgos!$R$53),"")</f>
        <v/>
      </c>
      <c r="X34" s="62" t="str">
        <f>IF(AND(Riesgos!$AB$54="Media",Riesgos!$AD$54="Moderado"),CONCATENATE("R9C",Riesgos!$R$54),"")</f>
        <v/>
      </c>
      <c r="Y34" s="62" t="str">
        <f>IF(AND(Riesgos!$AB$55="Media",Riesgos!$AD$55="Moderado"),CONCATENATE("R9C",Riesgos!$R$55),"")</f>
        <v>R9C1</v>
      </c>
      <c r="Z34" s="62" t="str">
        <f>IF(AND(Riesgos!$AB$56="Media",Riesgos!$AD$56="Moderado"),CONCATENATE("R9C",Riesgos!$R$56),"")</f>
        <v/>
      </c>
      <c r="AA34" s="63" t="str">
        <f>IF(AND(Riesgos!$AB$57="Media",Riesgos!$AD$57="Moderado"),CONCATENATE("R9C",Riesgos!$R$57),"")</f>
        <v/>
      </c>
      <c r="AB34" s="46" t="str">
        <f>IF(AND(Riesgos!$AB$52="Media",Riesgos!$AD$52="Mayor"),CONCATENATE("R9C",Riesgos!$R$52),"")</f>
        <v/>
      </c>
      <c r="AC34" s="47" t="str">
        <f>IF(AND(Riesgos!$AB$53="Media",Riesgos!$AD$53="Mayor"),CONCATENATE("R9C",Riesgos!$R$53),"")</f>
        <v/>
      </c>
      <c r="AD34" s="47" t="str">
        <f>IF(AND(Riesgos!$AB$54="Media",Riesgos!$AD$54="Mayor"),CONCATENATE("R9C",Riesgos!$R$54),"")</f>
        <v/>
      </c>
      <c r="AE34" s="47" t="str">
        <f>IF(AND(Riesgos!$AB$55="Media",Riesgos!$AD$55="Mayor"),CONCATENATE("R9C",Riesgos!$R$55),"")</f>
        <v/>
      </c>
      <c r="AF34" s="47" t="str">
        <f>IF(AND(Riesgos!$AB$56="Media",Riesgos!$AD$56="Mayor"),CONCATENATE("R9C",Riesgos!$R$56),"")</f>
        <v/>
      </c>
      <c r="AG34" s="48" t="str">
        <f>IF(AND(Riesgos!$AB$57="Media",Riesgos!$AD$57="Mayor"),CONCATENATE("R9C",Riesgos!$R$57),"")</f>
        <v/>
      </c>
      <c r="AH34" s="49" t="str">
        <f>IF(AND(Riesgos!$AB$52="Media",Riesgos!$AD$52="Catastrófico"),CONCATENATE("R9C",Riesgos!$R$52),"")</f>
        <v/>
      </c>
      <c r="AI34" s="50" t="str">
        <f>IF(AND(Riesgos!$AB$53="Media",Riesgos!$AD$53="Catastrófico"),CONCATENATE("R9C",Riesgos!$R$53),"")</f>
        <v/>
      </c>
      <c r="AJ34" s="50" t="str">
        <f>IF(AND(Riesgos!$AB$54="Media",Riesgos!$AD$54="Catastrófico"),CONCATENATE("R9C",Riesgos!$R$54),"")</f>
        <v/>
      </c>
      <c r="AK34" s="50" t="str">
        <f>IF(AND(Riesgos!$AB$55="Media",Riesgos!$AD$55="Catastrófico"),CONCATENATE("R9C",Riesgos!$R$55),"")</f>
        <v/>
      </c>
      <c r="AL34" s="50" t="str">
        <f>IF(AND(Riesgos!$AB$56="Media",Riesgos!$AD$56="Catastrófico"),CONCATENATE("R9C",Riesgos!$R$56),"")</f>
        <v/>
      </c>
      <c r="AM34" s="51" t="str">
        <f>IF(AND(Riesgos!$AB$57="Media",Riesgos!$AD$57="Catastrófico"),CONCATENATE("R9C",Riesgos!$R$57),"")</f>
        <v/>
      </c>
      <c r="AN34" s="77"/>
      <c r="AO34" s="471"/>
      <c r="AP34" s="472"/>
      <c r="AQ34" s="472"/>
      <c r="AR34" s="472"/>
      <c r="AS34" s="472"/>
      <c r="AT34" s="473"/>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row>
    <row r="35" spans="1:80" ht="15.75" customHeight="1" thickBot="1" x14ac:dyDescent="0.3">
      <c r="A35" s="77"/>
      <c r="B35" s="390"/>
      <c r="C35" s="390"/>
      <c r="D35" s="391"/>
      <c r="E35" s="434"/>
      <c r="F35" s="435"/>
      <c r="G35" s="435"/>
      <c r="H35" s="435"/>
      <c r="I35" s="436"/>
      <c r="J35" s="61" t="e">
        <f>IF(AND(Riesgos!#REF!="Media",Riesgos!#REF!="Leve"),CONCATENATE("R10C",Riesgos!#REF!),"")</f>
        <v>#REF!</v>
      </c>
      <c r="K35" s="62" t="e">
        <f>IF(AND(Riesgos!#REF!="Media",Riesgos!#REF!="Leve"),CONCATENATE("R10C",Riesgos!#REF!),"")</f>
        <v>#REF!</v>
      </c>
      <c r="L35" s="62" t="e">
        <f>IF(AND(Riesgos!#REF!="Media",Riesgos!#REF!="Leve"),CONCATENATE("R10C",Riesgos!#REF!),"")</f>
        <v>#REF!</v>
      </c>
      <c r="M35" s="62" t="e">
        <f>IF(AND(Riesgos!#REF!="Media",Riesgos!#REF!="Leve"),CONCATENATE("R10C",Riesgos!#REF!),"")</f>
        <v>#REF!</v>
      </c>
      <c r="N35" s="62" t="e">
        <f>IF(AND(Riesgos!#REF!="Media",Riesgos!#REF!="Leve"),CONCATENATE("R10C",Riesgos!#REF!),"")</f>
        <v>#REF!</v>
      </c>
      <c r="O35" s="63" t="e">
        <f>IF(AND(Riesgos!#REF!="Media",Riesgos!#REF!="Leve"),CONCATENATE("R10C",Riesgos!#REF!),"")</f>
        <v>#REF!</v>
      </c>
      <c r="P35" s="61" t="e">
        <f>IF(AND(Riesgos!#REF!="Media",Riesgos!#REF!="Menor"),CONCATENATE("R10C",Riesgos!#REF!),"")</f>
        <v>#REF!</v>
      </c>
      <c r="Q35" s="62" t="e">
        <f>IF(AND(Riesgos!#REF!="Media",Riesgos!#REF!="Menor"),CONCATENATE("R10C",Riesgos!#REF!),"")</f>
        <v>#REF!</v>
      </c>
      <c r="R35" s="62" t="e">
        <f>IF(AND(Riesgos!#REF!="Media",Riesgos!#REF!="Menor"),CONCATENATE("R10C",Riesgos!#REF!),"")</f>
        <v>#REF!</v>
      </c>
      <c r="S35" s="62" t="e">
        <f>IF(AND(Riesgos!#REF!="Media",Riesgos!#REF!="Menor"),CONCATENATE("R10C",Riesgos!#REF!),"")</f>
        <v>#REF!</v>
      </c>
      <c r="T35" s="62" t="e">
        <f>IF(AND(Riesgos!#REF!="Media",Riesgos!#REF!="Menor"),CONCATENATE("R10C",Riesgos!#REF!),"")</f>
        <v>#REF!</v>
      </c>
      <c r="U35" s="63" t="e">
        <f>IF(AND(Riesgos!#REF!="Media",Riesgos!#REF!="Menor"),CONCATENATE("R10C",Riesgos!#REF!),"")</f>
        <v>#REF!</v>
      </c>
      <c r="V35" s="61" t="e">
        <f>IF(AND(Riesgos!#REF!="Media",Riesgos!#REF!="Moderado"),CONCATENATE("R10C",Riesgos!#REF!),"")</f>
        <v>#REF!</v>
      </c>
      <c r="W35" s="62" t="e">
        <f>IF(AND(Riesgos!#REF!="Media",Riesgos!#REF!="Moderado"),CONCATENATE("R10C",Riesgos!#REF!),"")</f>
        <v>#REF!</v>
      </c>
      <c r="X35" s="62" t="e">
        <f>IF(AND(Riesgos!#REF!="Media",Riesgos!#REF!="Moderado"),CONCATENATE("R10C",Riesgos!#REF!),"")</f>
        <v>#REF!</v>
      </c>
      <c r="Y35" s="62" t="e">
        <f>IF(AND(Riesgos!#REF!="Media",Riesgos!#REF!="Moderado"),CONCATENATE("R10C",Riesgos!#REF!),"")</f>
        <v>#REF!</v>
      </c>
      <c r="Z35" s="62" t="e">
        <f>IF(AND(Riesgos!#REF!="Media",Riesgos!#REF!="Moderado"),CONCATENATE("R10C",Riesgos!#REF!),"")</f>
        <v>#REF!</v>
      </c>
      <c r="AA35" s="63" t="e">
        <f>IF(AND(Riesgos!#REF!="Media",Riesgos!#REF!="Moderado"),CONCATENATE("R10C",Riesgos!#REF!),"")</f>
        <v>#REF!</v>
      </c>
      <c r="AB35" s="52" t="e">
        <f>IF(AND(Riesgos!#REF!="Media",Riesgos!#REF!="Mayor"),CONCATENATE("R10C",Riesgos!#REF!),"")</f>
        <v>#REF!</v>
      </c>
      <c r="AC35" s="53" t="e">
        <f>IF(AND(Riesgos!#REF!="Media",Riesgos!#REF!="Mayor"),CONCATENATE("R10C",Riesgos!#REF!),"")</f>
        <v>#REF!</v>
      </c>
      <c r="AD35" s="53" t="e">
        <f>IF(AND(Riesgos!#REF!="Media",Riesgos!#REF!="Mayor"),CONCATENATE("R10C",Riesgos!#REF!),"")</f>
        <v>#REF!</v>
      </c>
      <c r="AE35" s="53" t="e">
        <f>IF(AND(Riesgos!#REF!="Media",Riesgos!#REF!="Mayor"),CONCATENATE("R10C",Riesgos!#REF!),"")</f>
        <v>#REF!</v>
      </c>
      <c r="AF35" s="53" t="e">
        <f>IF(AND(Riesgos!#REF!="Media",Riesgos!#REF!="Mayor"),CONCATENATE("R10C",Riesgos!#REF!),"")</f>
        <v>#REF!</v>
      </c>
      <c r="AG35" s="54" t="e">
        <f>IF(AND(Riesgos!#REF!="Media",Riesgos!#REF!="Mayor"),CONCATENATE("R10C",Riesgos!#REF!),"")</f>
        <v>#REF!</v>
      </c>
      <c r="AH35" s="55" t="e">
        <f>IF(AND(Riesgos!#REF!="Media",Riesgos!#REF!="Catastrófico"),CONCATENATE("R10C",Riesgos!#REF!),"")</f>
        <v>#REF!</v>
      </c>
      <c r="AI35" s="56" t="e">
        <f>IF(AND(Riesgos!#REF!="Media",Riesgos!#REF!="Catastrófico"),CONCATENATE("R10C",Riesgos!#REF!),"")</f>
        <v>#REF!</v>
      </c>
      <c r="AJ35" s="56" t="e">
        <f>IF(AND(Riesgos!#REF!="Media",Riesgos!#REF!="Catastrófico"),CONCATENATE("R10C",Riesgos!#REF!),"")</f>
        <v>#REF!</v>
      </c>
      <c r="AK35" s="56" t="e">
        <f>IF(AND(Riesgos!#REF!="Media",Riesgos!#REF!="Catastrófico"),CONCATENATE("R10C",Riesgos!#REF!),"")</f>
        <v>#REF!</v>
      </c>
      <c r="AL35" s="56" t="e">
        <f>IF(AND(Riesgos!#REF!="Media",Riesgos!#REF!="Catastrófico"),CONCATENATE("R10C",Riesgos!#REF!),"")</f>
        <v>#REF!</v>
      </c>
      <c r="AM35" s="57" t="e">
        <f>IF(AND(Riesgos!#REF!="Media",Riesgos!#REF!="Catastrófico"),CONCATENATE("R10C",Riesgos!#REF!),"")</f>
        <v>#REF!</v>
      </c>
      <c r="AN35" s="77"/>
      <c r="AO35" s="474"/>
      <c r="AP35" s="475"/>
      <c r="AQ35" s="475"/>
      <c r="AR35" s="475"/>
      <c r="AS35" s="475"/>
      <c r="AT35" s="476"/>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row>
    <row r="36" spans="1:80" ht="15" customHeight="1" x14ac:dyDescent="0.25">
      <c r="A36" s="77"/>
      <c r="B36" s="390"/>
      <c r="C36" s="390"/>
      <c r="D36" s="391"/>
      <c r="E36" s="428" t="s">
        <v>111</v>
      </c>
      <c r="F36" s="429"/>
      <c r="G36" s="429"/>
      <c r="H36" s="429"/>
      <c r="I36" s="429"/>
      <c r="J36" s="67" t="str">
        <f>IF(AND(Riesgos!$AB$10="Baja",Riesgos!$AD$10="Leve"),CONCATENATE("R1C",Riesgos!$R$10),"")</f>
        <v/>
      </c>
      <c r="K36" s="68" t="str">
        <f>IF(AND(Riesgos!$AB$11="Baja",Riesgos!$AD$11="Leve"),CONCATENATE("R1C",Riesgos!$R$11),"")</f>
        <v/>
      </c>
      <c r="L36" s="68" t="str">
        <f>IF(AND(Riesgos!$AB$12="Baja",Riesgos!$AD$12="Leve"),CONCATENATE("R1C",Riesgos!$R$12),"")</f>
        <v/>
      </c>
      <c r="M36" s="68" t="str">
        <f>IF(AND(Riesgos!$AB$13="Baja",Riesgos!$AD$13="Leve"),CONCATENATE("R1C",Riesgos!$R$13),"")</f>
        <v/>
      </c>
      <c r="N36" s="68" t="str">
        <f>IF(AND(Riesgos!$AB$14="Baja",Riesgos!$AD$14="Leve"),CONCATENATE("R1C",Riesgos!$R$14),"")</f>
        <v/>
      </c>
      <c r="O36" s="69" t="str">
        <f>IF(AND(Riesgos!$AB$15="Baja",Riesgos!$AD$15="Leve"),CONCATENATE("R1C",Riesgos!$R$15),"")</f>
        <v/>
      </c>
      <c r="P36" s="58" t="str">
        <f>IF(AND(Riesgos!$AB$10="Baja",Riesgos!$AD$10="Menor"),CONCATENATE("R1C",Riesgos!$R$10),"")</f>
        <v/>
      </c>
      <c r="Q36" s="59" t="str">
        <f>IF(AND(Riesgos!$AB$11="Baja",Riesgos!$AD$11="Menor"),CONCATENATE("R1C",Riesgos!$R$11),"")</f>
        <v/>
      </c>
      <c r="R36" s="59" t="str">
        <f>IF(AND(Riesgos!$AB$12="Baja",Riesgos!$AD$12="Menor"),CONCATENATE("R1C",Riesgos!$R$12),"")</f>
        <v/>
      </c>
      <c r="S36" s="59" t="str">
        <f>IF(AND(Riesgos!$AB$13="Baja",Riesgos!$AD$13="Menor"),CONCATENATE("R1C",Riesgos!$R$13),"")</f>
        <v/>
      </c>
      <c r="T36" s="59" t="str">
        <f>IF(AND(Riesgos!$AB$14="Baja",Riesgos!$AD$14="Menor"),CONCATENATE("R1C",Riesgos!$R$14),"")</f>
        <v/>
      </c>
      <c r="U36" s="60" t="str">
        <f>IF(AND(Riesgos!$AB$15="Baja",Riesgos!$AD$15="Menor"),CONCATENATE("R1C",Riesgos!$R$15),"")</f>
        <v/>
      </c>
      <c r="V36" s="58" t="str">
        <f>IF(AND(Riesgos!$AB$10="Baja",Riesgos!$AD$10="Moderado"),CONCATENATE("R1C",Riesgos!$R$10),"")</f>
        <v/>
      </c>
      <c r="W36" s="59" t="str">
        <f>IF(AND(Riesgos!$AB$11="Baja",Riesgos!$AD$11="Moderado"),CONCATENATE("R1C",Riesgos!$R$11),"")</f>
        <v/>
      </c>
      <c r="X36" s="59" t="str">
        <f>IF(AND(Riesgos!$AB$12="Baja",Riesgos!$AD$12="Moderado"),CONCATENATE("R1C",Riesgos!$R$12),"")</f>
        <v/>
      </c>
      <c r="Y36" s="59" t="str">
        <f>IF(AND(Riesgos!$AB$13="Baja",Riesgos!$AD$13="Moderado"),CONCATENATE("R1C",Riesgos!$R$13),"")</f>
        <v/>
      </c>
      <c r="Z36" s="59" t="str">
        <f>IF(AND(Riesgos!$AB$14="Baja",Riesgos!$AD$14="Moderado"),CONCATENATE("R1C",Riesgos!$R$14),"")</f>
        <v/>
      </c>
      <c r="AA36" s="60" t="str">
        <f>IF(AND(Riesgos!$AB$15="Baja",Riesgos!$AD$15="Moderado"),CONCATENATE("R1C",Riesgos!$R$15),"")</f>
        <v/>
      </c>
      <c r="AB36" s="40" t="str">
        <f>IF(AND(Riesgos!$AB$10="Baja",Riesgos!$AD$10="Mayor"),CONCATENATE("R1C",Riesgos!$R$10),"")</f>
        <v/>
      </c>
      <c r="AC36" s="41" t="str">
        <f>IF(AND(Riesgos!$AB$11="Baja",Riesgos!$AD$11="Mayor"),CONCATENATE("R1C",Riesgos!$R$11),"")</f>
        <v/>
      </c>
      <c r="AD36" s="41" t="str">
        <f>IF(AND(Riesgos!$AB$12="Baja",Riesgos!$AD$12="Mayor"),CONCATENATE("R1C",Riesgos!$R$12),"")</f>
        <v/>
      </c>
      <c r="AE36" s="41" t="str">
        <f>IF(AND(Riesgos!$AB$13="Baja",Riesgos!$AD$13="Mayor"),CONCATENATE("R1C",Riesgos!$R$13),"")</f>
        <v/>
      </c>
      <c r="AF36" s="41" t="str">
        <f>IF(AND(Riesgos!$AB$14="Baja",Riesgos!$AD$14="Mayor"),CONCATENATE("R1C",Riesgos!$R$14),"")</f>
        <v/>
      </c>
      <c r="AG36" s="42" t="str">
        <f>IF(AND(Riesgos!$AB$15="Baja",Riesgos!$AD$15="Mayor"),CONCATENATE("R1C",Riesgos!$R$15),"")</f>
        <v/>
      </c>
      <c r="AH36" s="43" t="str">
        <f>IF(AND(Riesgos!$AB$10="Baja",Riesgos!$AD$10="Catastrófico"),CONCATENATE("R1C",Riesgos!$R$10),"")</f>
        <v/>
      </c>
      <c r="AI36" s="44" t="str">
        <f>IF(AND(Riesgos!$AB$11="Baja",Riesgos!$AD$11="Catastrófico"),CONCATENATE("R1C",Riesgos!$R$11),"")</f>
        <v/>
      </c>
      <c r="AJ36" s="44" t="str">
        <f>IF(AND(Riesgos!$AB$12="Baja",Riesgos!$AD$12="Catastrófico"),CONCATENATE("R1C",Riesgos!$R$12),"")</f>
        <v/>
      </c>
      <c r="AK36" s="44" t="str">
        <f>IF(AND(Riesgos!$AB$13="Baja",Riesgos!$AD$13="Catastrófico"),CONCATENATE("R1C",Riesgos!$R$13),"")</f>
        <v/>
      </c>
      <c r="AL36" s="44" t="str">
        <f>IF(AND(Riesgos!$AB$14="Baja",Riesgos!$AD$14="Catastrófico"),CONCATENATE("R1C",Riesgos!$R$14),"")</f>
        <v/>
      </c>
      <c r="AM36" s="45" t="str">
        <f>IF(AND(Riesgos!$AB$15="Baja",Riesgos!$AD$15="Catastrófico"),CONCATENATE("R1C",Riesgos!$R$15),"")</f>
        <v/>
      </c>
      <c r="AN36" s="77"/>
      <c r="AO36" s="459" t="s">
        <v>79</v>
      </c>
      <c r="AP36" s="460"/>
      <c r="AQ36" s="460"/>
      <c r="AR36" s="460"/>
      <c r="AS36" s="460"/>
      <c r="AT36" s="461"/>
      <c r="AU36" s="77"/>
      <c r="AV36" s="77"/>
      <c r="AW36" s="77"/>
      <c r="AX36" s="77"/>
      <c r="AY36" s="77"/>
      <c r="AZ36" s="77"/>
      <c r="BA36" s="77"/>
      <c r="BB36" s="77"/>
      <c r="BC36" s="77"/>
      <c r="BD36" s="77"/>
      <c r="BE36" s="77"/>
      <c r="BF36" s="77"/>
      <c r="BG36" s="77"/>
      <c r="BH36" s="77"/>
      <c r="BI36" s="77"/>
      <c r="BJ36" s="77"/>
      <c r="BK36" s="77"/>
      <c r="BL36" s="77"/>
      <c r="BM36" s="77"/>
      <c r="BN36" s="77"/>
      <c r="BO36" s="77"/>
      <c r="BP36" s="77"/>
      <c r="BQ36" s="77"/>
      <c r="BR36" s="77"/>
      <c r="BS36" s="77"/>
      <c r="BT36" s="77"/>
      <c r="BU36" s="77"/>
      <c r="BV36" s="77"/>
      <c r="BW36" s="77"/>
      <c r="BX36" s="77"/>
    </row>
    <row r="37" spans="1:80" ht="15" customHeight="1" x14ac:dyDescent="0.25">
      <c r="A37" s="77"/>
      <c r="B37" s="390"/>
      <c r="C37" s="390"/>
      <c r="D37" s="391"/>
      <c r="E37" s="447"/>
      <c r="F37" s="432"/>
      <c r="G37" s="432"/>
      <c r="H37" s="432"/>
      <c r="I37" s="432"/>
      <c r="J37" s="70" t="str">
        <f>IF(AND(Riesgos!$AB$16="Baja",Riesgos!$AD$16="Leve"),CONCATENATE("R2C",Riesgos!$R$16),"")</f>
        <v/>
      </c>
      <c r="K37" s="71" t="str">
        <f>IF(AND(Riesgos!$AB$17="Baja",Riesgos!$AD$17="Leve"),CONCATENATE("R2C",Riesgos!$R$17),"")</f>
        <v/>
      </c>
      <c r="L37" s="71" t="str">
        <f>IF(AND(Riesgos!$AB$18="Baja",Riesgos!$AD$18="Leve"),CONCATENATE("R2C",Riesgos!$R$18),"")</f>
        <v/>
      </c>
      <c r="M37" s="71" t="str">
        <f>IF(AND(Riesgos!$AB$19="Baja",Riesgos!$AD$19="Leve"),CONCATENATE("R2C",Riesgos!$R$19),"")</f>
        <v/>
      </c>
      <c r="N37" s="71" t="str">
        <f>IF(AND(Riesgos!$AB$20="Baja",Riesgos!$AD$20="Leve"),CONCATENATE("R2C",Riesgos!$R$20),"")</f>
        <v/>
      </c>
      <c r="O37" s="72" t="str">
        <f>IF(AND(Riesgos!$AB$21="Baja",Riesgos!$AD$21="Leve"),CONCATENATE("R2C",Riesgos!$R$21),"")</f>
        <v/>
      </c>
      <c r="P37" s="61" t="str">
        <f>IF(AND(Riesgos!$AB$16="Baja",Riesgos!$AD$16="Menor"),CONCATENATE("R2C",Riesgos!$R$16),"")</f>
        <v/>
      </c>
      <c r="Q37" s="62" t="str">
        <f>IF(AND(Riesgos!$AB$17="Baja",Riesgos!$AD$17="Menor"),CONCATENATE("R2C",Riesgos!$R$17),"")</f>
        <v/>
      </c>
      <c r="R37" s="62" t="str">
        <f>IF(AND(Riesgos!$AB$18="Baja",Riesgos!$AD$18="Menor"),CONCATENATE("R2C",Riesgos!$R$18),"")</f>
        <v/>
      </c>
      <c r="S37" s="62" t="str">
        <f>IF(AND(Riesgos!$AB$19="Baja",Riesgos!$AD$19="Menor"),CONCATENATE("R2C",Riesgos!$R$19),"")</f>
        <v/>
      </c>
      <c r="T37" s="62" t="str">
        <f>IF(AND(Riesgos!$AB$20="Baja",Riesgos!$AD$20="Menor"),CONCATENATE("R2C",Riesgos!$R$20),"")</f>
        <v/>
      </c>
      <c r="U37" s="63" t="str">
        <f>IF(AND(Riesgos!$AB$21="Baja",Riesgos!$AD$21="Menor"),CONCATENATE("R2C",Riesgos!$R$21),"")</f>
        <v/>
      </c>
      <c r="V37" s="61" t="str">
        <f>IF(AND(Riesgos!$AB$16="Baja",Riesgos!$AD$16="Moderado"),CONCATENATE("R2C",Riesgos!$R$16),"")</f>
        <v/>
      </c>
      <c r="W37" s="62" t="str">
        <f>IF(AND(Riesgos!$AB$17="Baja",Riesgos!$AD$17="Moderado"),CONCATENATE("R2C",Riesgos!$R$17),"")</f>
        <v/>
      </c>
      <c r="X37" s="62" t="str">
        <f>IF(AND(Riesgos!$AB$18="Baja",Riesgos!$AD$18="Moderado"),CONCATENATE("R2C",Riesgos!$R$18),"")</f>
        <v/>
      </c>
      <c r="Y37" s="62" t="str">
        <f>IF(AND(Riesgos!$AB$19="Baja",Riesgos!$AD$19="Moderado"),CONCATENATE("R2C",Riesgos!$R$19),"")</f>
        <v/>
      </c>
      <c r="Z37" s="62" t="str">
        <f>IF(AND(Riesgos!$AB$20="Baja",Riesgos!$AD$20="Moderado"),CONCATENATE("R2C",Riesgos!$R$20),"")</f>
        <v/>
      </c>
      <c r="AA37" s="63" t="str">
        <f>IF(AND(Riesgos!$AB$21="Baja",Riesgos!$AD$21="Moderado"),CONCATENATE("R2C",Riesgos!$R$21),"")</f>
        <v/>
      </c>
      <c r="AB37" s="46" t="str">
        <f>IF(AND(Riesgos!$AB$16="Baja",Riesgos!$AD$16="Mayor"),CONCATENATE("R2C",Riesgos!$R$16),"")</f>
        <v/>
      </c>
      <c r="AC37" s="47" t="str">
        <f>IF(AND(Riesgos!$AB$17="Baja",Riesgos!$AD$17="Mayor"),CONCATENATE("R2C",Riesgos!$R$17),"")</f>
        <v/>
      </c>
      <c r="AD37" s="47" t="str">
        <f>IF(AND(Riesgos!$AB$18="Baja",Riesgos!$AD$18="Mayor"),CONCATENATE("R2C",Riesgos!$R$18),"")</f>
        <v/>
      </c>
      <c r="AE37" s="47" t="str">
        <f>IF(AND(Riesgos!$AB$19="Baja",Riesgos!$AD$19="Mayor"),CONCATENATE("R2C",Riesgos!$R$19),"")</f>
        <v/>
      </c>
      <c r="AF37" s="47" t="str">
        <f>IF(AND(Riesgos!$AB$20="Baja",Riesgos!$AD$20="Mayor"),CONCATENATE("R2C",Riesgos!$R$20),"")</f>
        <v/>
      </c>
      <c r="AG37" s="48" t="str">
        <f>IF(AND(Riesgos!$AB$21="Baja",Riesgos!$AD$21="Mayor"),CONCATENATE("R2C",Riesgos!$R$21),"")</f>
        <v/>
      </c>
      <c r="AH37" s="49" t="str">
        <f>IF(AND(Riesgos!$AB$16="Baja",Riesgos!$AD$16="Catastrófico"),CONCATENATE("R2C",Riesgos!$R$16),"")</f>
        <v/>
      </c>
      <c r="AI37" s="50" t="str">
        <f>IF(AND(Riesgos!$AB$17="Baja",Riesgos!$AD$17="Catastrófico"),CONCATENATE("R2C",Riesgos!$R$17),"")</f>
        <v/>
      </c>
      <c r="AJ37" s="50" t="str">
        <f>IF(AND(Riesgos!$AB$18="Baja",Riesgos!$AD$18="Catastrófico"),CONCATENATE("R2C",Riesgos!$R$18),"")</f>
        <v/>
      </c>
      <c r="AK37" s="50" t="str">
        <f>IF(AND(Riesgos!$AB$19="Baja",Riesgos!$AD$19="Catastrófico"),CONCATENATE("R2C",Riesgos!$R$19),"")</f>
        <v/>
      </c>
      <c r="AL37" s="50" t="str">
        <f>IF(AND(Riesgos!$AB$20="Baja",Riesgos!$AD$20="Catastrófico"),CONCATENATE("R2C",Riesgos!$R$20),"")</f>
        <v/>
      </c>
      <c r="AM37" s="51" t="str">
        <f>IF(AND(Riesgos!$AB$21="Baja",Riesgos!$AD$21="Catastrófico"),CONCATENATE("R2C",Riesgos!$R$21),"")</f>
        <v/>
      </c>
      <c r="AN37" s="77"/>
      <c r="AO37" s="462"/>
      <c r="AP37" s="463"/>
      <c r="AQ37" s="463"/>
      <c r="AR37" s="463"/>
      <c r="AS37" s="463"/>
      <c r="AT37" s="464"/>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7"/>
    </row>
    <row r="38" spans="1:80" ht="15" customHeight="1" x14ac:dyDescent="0.25">
      <c r="A38" s="77"/>
      <c r="B38" s="390"/>
      <c r="C38" s="390"/>
      <c r="D38" s="391"/>
      <c r="E38" s="431"/>
      <c r="F38" s="432"/>
      <c r="G38" s="432"/>
      <c r="H38" s="432"/>
      <c r="I38" s="432"/>
      <c r="J38" s="70" t="e">
        <f>IF(AND(Riesgos!#REF!="Baja",Riesgos!#REF!="Leve"),CONCATENATE("R3C",Riesgos!#REF!),"")</f>
        <v>#REF!</v>
      </c>
      <c r="K38" s="71" t="e">
        <f>IF(AND(Riesgos!#REF!="Baja",Riesgos!#REF!="Leve"),CONCATENATE("R3C",Riesgos!#REF!),"")</f>
        <v>#REF!</v>
      </c>
      <c r="L38" s="71" t="e">
        <f>IF(AND(Riesgos!#REF!="Baja",Riesgos!#REF!="Leve"),CONCATENATE("R3C",Riesgos!#REF!),"")</f>
        <v>#REF!</v>
      </c>
      <c r="M38" s="71" t="e">
        <f>IF(AND(Riesgos!#REF!="Baja",Riesgos!#REF!="Leve"),CONCATENATE("R3C",Riesgos!#REF!),"")</f>
        <v>#REF!</v>
      </c>
      <c r="N38" s="71" t="e">
        <f>IF(AND(Riesgos!#REF!="Baja",Riesgos!#REF!="Leve"),CONCATENATE("R3C",Riesgos!#REF!),"")</f>
        <v>#REF!</v>
      </c>
      <c r="O38" s="72" t="e">
        <f>IF(AND(Riesgos!#REF!="Baja",Riesgos!#REF!="Leve"),CONCATENATE("R3C",Riesgos!#REF!),"")</f>
        <v>#REF!</v>
      </c>
      <c r="P38" s="61" t="e">
        <f>IF(AND(Riesgos!#REF!="Baja",Riesgos!#REF!="Menor"),CONCATENATE("R3C",Riesgos!#REF!),"")</f>
        <v>#REF!</v>
      </c>
      <c r="Q38" s="62" t="e">
        <f>IF(AND(Riesgos!#REF!="Baja",Riesgos!#REF!="Menor"),CONCATENATE("R3C",Riesgos!#REF!),"")</f>
        <v>#REF!</v>
      </c>
      <c r="R38" s="62" t="e">
        <f>IF(AND(Riesgos!#REF!="Baja",Riesgos!#REF!="Menor"),CONCATENATE("R3C",Riesgos!#REF!),"")</f>
        <v>#REF!</v>
      </c>
      <c r="S38" s="62" t="e">
        <f>IF(AND(Riesgos!#REF!="Baja",Riesgos!#REF!="Menor"),CONCATENATE("R3C",Riesgos!#REF!),"")</f>
        <v>#REF!</v>
      </c>
      <c r="T38" s="62" t="e">
        <f>IF(AND(Riesgos!#REF!="Baja",Riesgos!#REF!="Menor"),CONCATENATE("R3C",Riesgos!#REF!),"")</f>
        <v>#REF!</v>
      </c>
      <c r="U38" s="63" t="e">
        <f>IF(AND(Riesgos!#REF!="Baja",Riesgos!#REF!="Menor"),CONCATENATE("R3C",Riesgos!#REF!),"")</f>
        <v>#REF!</v>
      </c>
      <c r="V38" s="61" t="e">
        <f>IF(AND(Riesgos!#REF!="Baja",Riesgos!#REF!="Moderado"),CONCATENATE("R3C",Riesgos!#REF!),"")</f>
        <v>#REF!</v>
      </c>
      <c r="W38" s="62" t="e">
        <f>IF(AND(Riesgos!#REF!="Baja",Riesgos!#REF!="Moderado"),CONCATENATE("R3C",Riesgos!#REF!),"")</f>
        <v>#REF!</v>
      </c>
      <c r="X38" s="62" t="e">
        <f>IF(AND(Riesgos!#REF!="Baja",Riesgos!#REF!="Moderado"),CONCATENATE("R3C",Riesgos!#REF!),"")</f>
        <v>#REF!</v>
      </c>
      <c r="Y38" s="62" t="e">
        <f>IF(AND(Riesgos!#REF!="Baja",Riesgos!#REF!="Moderado"),CONCATENATE("R3C",Riesgos!#REF!),"")</f>
        <v>#REF!</v>
      </c>
      <c r="Z38" s="62" t="e">
        <f>IF(AND(Riesgos!#REF!="Baja",Riesgos!#REF!="Moderado"),CONCATENATE("R3C",Riesgos!#REF!),"")</f>
        <v>#REF!</v>
      </c>
      <c r="AA38" s="63" t="e">
        <f>IF(AND(Riesgos!#REF!="Baja",Riesgos!#REF!="Moderado"),CONCATENATE("R3C",Riesgos!#REF!),"")</f>
        <v>#REF!</v>
      </c>
      <c r="AB38" s="46" t="e">
        <f>IF(AND(Riesgos!#REF!="Baja",Riesgos!#REF!="Mayor"),CONCATENATE("R3C",Riesgos!#REF!),"")</f>
        <v>#REF!</v>
      </c>
      <c r="AC38" s="47" t="e">
        <f>IF(AND(Riesgos!#REF!="Baja",Riesgos!#REF!="Mayor"),CONCATENATE("R3C",Riesgos!#REF!),"")</f>
        <v>#REF!</v>
      </c>
      <c r="AD38" s="47" t="e">
        <f>IF(AND(Riesgos!#REF!="Baja",Riesgos!#REF!="Mayor"),CONCATENATE("R3C",Riesgos!#REF!),"")</f>
        <v>#REF!</v>
      </c>
      <c r="AE38" s="47" t="e">
        <f>IF(AND(Riesgos!#REF!="Baja",Riesgos!#REF!="Mayor"),CONCATENATE("R3C",Riesgos!#REF!),"")</f>
        <v>#REF!</v>
      </c>
      <c r="AF38" s="47" t="e">
        <f>IF(AND(Riesgos!#REF!="Baja",Riesgos!#REF!="Mayor"),CONCATENATE("R3C",Riesgos!#REF!),"")</f>
        <v>#REF!</v>
      </c>
      <c r="AG38" s="48" t="e">
        <f>IF(AND(Riesgos!#REF!="Baja",Riesgos!#REF!="Mayor"),CONCATENATE("R3C",Riesgos!#REF!),"")</f>
        <v>#REF!</v>
      </c>
      <c r="AH38" s="49" t="e">
        <f>IF(AND(Riesgos!#REF!="Baja",Riesgos!#REF!="Catastrófico"),CONCATENATE("R3C",Riesgos!#REF!),"")</f>
        <v>#REF!</v>
      </c>
      <c r="AI38" s="50" t="e">
        <f>IF(AND(Riesgos!#REF!="Baja",Riesgos!#REF!="Catastrófico"),CONCATENATE("R3C",Riesgos!#REF!),"")</f>
        <v>#REF!</v>
      </c>
      <c r="AJ38" s="50" t="e">
        <f>IF(AND(Riesgos!#REF!="Baja",Riesgos!#REF!="Catastrófico"),CONCATENATE("R3C",Riesgos!#REF!),"")</f>
        <v>#REF!</v>
      </c>
      <c r="AK38" s="50" t="e">
        <f>IF(AND(Riesgos!#REF!="Baja",Riesgos!#REF!="Catastrófico"),CONCATENATE("R3C",Riesgos!#REF!),"")</f>
        <v>#REF!</v>
      </c>
      <c r="AL38" s="50" t="e">
        <f>IF(AND(Riesgos!#REF!="Baja",Riesgos!#REF!="Catastrófico"),CONCATENATE("R3C",Riesgos!#REF!),"")</f>
        <v>#REF!</v>
      </c>
      <c r="AM38" s="51" t="e">
        <f>IF(AND(Riesgos!#REF!="Baja",Riesgos!#REF!="Catastrófico"),CONCATENATE("R3C",Riesgos!#REF!),"")</f>
        <v>#REF!</v>
      </c>
      <c r="AN38" s="77"/>
      <c r="AO38" s="462"/>
      <c r="AP38" s="463"/>
      <c r="AQ38" s="463"/>
      <c r="AR38" s="463"/>
      <c r="AS38" s="463"/>
      <c r="AT38" s="464"/>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7"/>
    </row>
    <row r="39" spans="1:80" ht="15" customHeight="1" x14ac:dyDescent="0.25">
      <c r="A39" s="77"/>
      <c r="B39" s="390"/>
      <c r="C39" s="390"/>
      <c r="D39" s="391"/>
      <c r="E39" s="431"/>
      <c r="F39" s="432"/>
      <c r="G39" s="432"/>
      <c r="H39" s="432"/>
      <c r="I39" s="432"/>
      <c r="J39" s="70" t="str">
        <f>IF(AND(Riesgos!$AB$22="Baja",Riesgos!$AD$22="Leve"),CONCATENATE("R4C",Riesgos!$R$22),"")</f>
        <v/>
      </c>
      <c r="K39" s="71" t="str">
        <f>IF(AND(Riesgos!$AB$23="Baja",Riesgos!$AD$23="Leve"),CONCATENATE("R4C",Riesgos!$R$23),"")</f>
        <v/>
      </c>
      <c r="L39" s="71" t="str">
        <f>IF(AND(Riesgos!$AB$24="Baja",Riesgos!$AD$24="Leve"),CONCATENATE("R4C",Riesgos!$R$24),"")</f>
        <v/>
      </c>
      <c r="M39" s="71" t="str">
        <f>IF(AND(Riesgos!$AB$25="Baja",Riesgos!$AD$25="Leve"),CONCATENATE("R4C",Riesgos!$R$25),"")</f>
        <v/>
      </c>
      <c r="N39" s="71" t="str">
        <f>IF(AND(Riesgos!$AB$26="Baja",Riesgos!$AD$26="Leve"),CONCATENATE("R4C",Riesgos!$R$26),"")</f>
        <v/>
      </c>
      <c r="O39" s="72" t="str">
        <f>IF(AND(Riesgos!$AB$27="Baja",Riesgos!$AD$27="Leve"),CONCATENATE("R4C",Riesgos!$R$27),"")</f>
        <v/>
      </c>
      <c r="P39" s="61" t="str">
        <f>IF(AND(Riesgos!$AB$22="Baja",Riesgos!$AD$22="Menor"),CONCATENATE("R4C",Riesgos!$R$22),"")</f>
        <v/>
      </c>
      <c r="Q39" s="62" t="str">
        <f>IF(AND(Riesgos!$AB$23="Baja",Riesgos!$AD$23="Menor"),CONCATENATE("R4C",Riesgos!$R$23),"")</f>
        <v/>
      </c>
      <c r="R39" s="62" t="str">
        <f>IF(AND(Riesgos!$AB$24="Baja",Riesgos!$AD$24="Menor"),CONCATENATE("R4C",Riesgos!$R$24),"")</f>
        <v/>
      </c>
      <c r="S39" s="62" t="str">
        <f>IF(AND(Riesgos!$AB$25="Baja",Riesgos!$AD$25="Menor"),CONCATENATE("R4C",Riesgos!$R$25),"")</f>
        <v/>
      </c>
      <c r="T39" s="62" t="str">
        <f>IF(AND(Riesgos!$AB$26="Baja",Riesgos!$AD$26="Menor"),CONCATENATE("R4C",Riesgos!$R$26),"")</f>
        <v/>
      </c>
      <c r="U39" s="63" t="str">
        <f>IF(AND(Riesgos!$AB$27="Baja",Riesgos!$AD$27="Menor"),CONCATENATE("R4C",Riesgos!$R$27),"")</f>
        <v/>
      </c>
      <c r="V39" s="61" t="str">
        <f>IF(AND(Riesgos!$AB$22="Baja",Riesgos!$AD$22="Moderado"),CONCATENATE("R4C",Riesgos!$R$22),"")</f>
        <v/>
      </c>
      <c r="W39" s="62" t="str">
        <f>IF(AND(Riesgos!$AB$23="Baja",Riesgos!$AD$23="Moderado"),CONCATENATE("R4C",Riesgos!$R$23),"")</f>
        <v/>
      </c>
      <c r="X39" s="62" t="str">
        <f>IF(AND(Riesgos!$AB$24="Baja",Riesgos!$AD$24="Moderado"),CONCATENATE("R4C",Riesgos!$R$24),"")</f>
        <v/>
      </c>
      <c r="Y39" s="62" t="str">
        <f>IF(AND(Riesgos!$AB$25="Baja",Riesgos!$AD$25="Moderado"),CONCATENATE("R4C",Riesgos!$R$25),"")</f>
        <v/>
      </c>
      <c r="Z39" s="62" t="str">
        <f>IF(AND(Riesgos!$AB$26="Baja",Riesgos!$AD$26="Moderado"),CONCATENATE("R4C",Riesgos!$R$26),"")</f>
        <v/>
      </c>
      <c r="AA39" s="63" t="str">
        <f>IF(AND(Riesgos!$AB$27="Baja",Riesgos!$AD$27="Moderado"),CONCATENATE("R4C",Riesgos!$R$27),"")</f>
        <v/>
      </c>
      <c r="AB39" s="46" t="str">
        <f>IF(AND(Riesgos!$AB$22="Baja",Riesgos!$AD$22="Mayor"),CONCATENATE("R4C",Riesgos!$R$22),"")</f>
        <v/>
      </c>
      <c r="AC39" s="47" t="str">
        <f>IF(AND(Riesgos!$AB$23="Baja",Riesgos!$AD$23="Mayor"),CONCATENATE("R4C",Riesgos!$R$23),"")</f>
        <v>R4C2</v>
      </c>
      <c r="AD39" s="47" t="str">
        <f>IF(AND(Riesgos!$AB$24="Baja",Riesgos!$AD$24="Mayor"),CONCATENATE("R4C",Riesgos!$R$24),"")</f>
        <v/>
      </c>
      <c r="AE39" s="47" t="str">
        <f>IF(AND(Riesgos!$AB$25="Baja",Riesgos!$AD$25="Mayor"),CONCATENATE("R4C",Riesgos!$R$25),"")</f>
        <v/>
      </c>
      <c r="AF39" s="47" t="str">
        <f>IF(AND(Riesgos!$AB$26="Baja",Riesgos!$AD$26="Mayor"),CONCATENATE("R4C",Riesgos!$R$26),"")</f>
        <v/>
      </c>
      <c r="AG39" s="48" t="str">
        <f>IF(AND(Riesgos!$AB$27="Baja",Riesgos!$AD$27="Mayor"),CONCATENATE("R4C",Riesgos!$R$27),"")</f>
        <v/>
      </c>
      <c r="AH39" s="49" t="str">
        <f>IF(AND(Riesgos!$AB$22="Baja",Riesgos!$AD$22="Catastrófico"),CONCATENATE("R4C",Riesgos!$R$22),"")</f>
        <v/>
      </c>
      <c r="AI39" s="50" t="str">
        <f>IF(AND(Riesgos!$AB$23="Baja",Riesgos!$AD$23="Catastrófico"),CONCATENATE("R4C",Riesgos!$R$23),"")</f>
        <v/>
      </c>
      <c r="AJ39" s="50" t="str">
        <f>IF(AND(Riesgos!$AB$24="Baja",Riesgos!$AD$24="Catastrófico"),CONCATENATE("R4C",Riesgos!$R$24),"")</f>
        <v/>
      </c>
      <c r="AK39" s="50" t="str">
        <f>IF(AND(Riesgos!$AB$25="Baja",Riesgos!$AD$25="Catastrófico"),CONCATENATE("R4C",Riesgos!$R$25),"")</f>
        <v/>
      </c>
      <c r="AL39" s="50" t="str">
        <f>IF(AND(Riesgos!$AB$26="Baja",Riesgos!$AD$26="Catastrófico"),CONCATENATE("R4C",Riesgos!$R$26),"")</f>
        <v/>
      </c>
      <c r="AM39" s="51" t="str">
        <f>IF(AND(Riesgos!$AB$27="Baja",Riesgos!$AD$27="Catastrófico"),CONCATENATE("R4C",Riesgos!$R$27),"")</f>
        <v/>
      </c>
      <c r="AN39" s="77"/>
      <c r="AO39" s="462"/>
      <c r="AP39" s="463"/>
      <c r="AQ39" s="463"/>
      <c r="AR39" s="463"/>
      <c r="AS39" s="463"/>
      <c r="AT39" s="464"/>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row>
    <row r="40" spans="1:80" ht="15" customHeight="1" x14ac:dyDescent="0.25">
      <c r="A40" s="77"/>
      <c r="B40" s="390"/>
      <c r="C40" s="390"/>
      <c r="D40" s="391"/>
      <c r="E40" s="431"/>
      <c r="F40" s="432"/>
      <c r="G40" s="432"/>
      <c r="H40" s="432"/>
      <c r="I40" s="432"/>
      <c r="J40" s="70" t="str">
        <f>IF(AND(Riesgos!$AB$28="Baja",Riesgos!$AD$28="Leve"),CONCATENATE("R5C",Riesgos!$R$28),"")</f>
        <v/>
      </c>
      <c r="K40" s="71" t="str">
        <f>IF(AND(Riesgos!$AB$29="Baja",Riesgos!$AD$29="Leve"),CONCATENATE("R5C",Riesgos!$R$29),"")</f>
        <v/>
      </c>
      <c r="L40" s="71" t="str">
        <f>IF(AND(Riesgos!$AB$30="Baja",Riesgos!$AD$30="Leve"),CONCATENATE("R5C",Riesgos!$R$30),"")</f>
        <v/>
      </c>
      <c r="M40" s="71" t="str">
        <f>IF(AND(Riesgos!$AB$31="Baja",Riesgos!$AD$31="Leve"),CONCATENATE("R5C",Riesgos!$R$31),"")</f>
        <v/>
      </c>
      <c r="N40" s="71" t="str">
        <f>IF(AND(Riesgos!$AB$32="Baja",Riesgos!$AD$32="Leve"),CONCATENATE("R5C",Riesgos!$R$32),"")</f>
        <v/>
      </c>
      <c r="O40" s="72" t="str">
        <f>IF(AND(Riesgos!$AB$33="Baja",Riesgos!$AD$33="Leve"),CONCATENATE("R5C",Riesgos!$R$33),"")</f>
        <v/>
      </c>
      <c r="P40" s="61" t="str">
        <f>IF(AND(Riesgos!$AB$28="Baja",Riesgos!$AD$28="Menor"),CONCATENATE("R5C",Riesgos!$R$28),"")</f>
        <v/>
      </c>
      <c r="Q40" s="62" t="str">
        <f>IF(AND(Riesgos!$AB$29="Baja",Riesgos!$AD$29="Menor"),CONCATENATE("R5C",Riesgos!$R$29),"")</f>
        <v/>
      </c>
      <c r="R40" s="62" t="str">
        <f>IF(AND(Riesgos!$AB$30="Baja",Riesgos!$AD$30="Menor"),CONCATENATE("R5C",Riesgos!$R$30),"")</f>
        <v/>
      </c>
      <c r="S40" s="62" t="str">
        <f>IF(AND(Riesgos!$AB$31="Baja",Riesgos!$AD$31="Menor"),CONCATENATE("R5C",Riesgos!$R$31),"")</f>
        <v/>
      </c>
      <c r="T40" s="62" t="str">
        <f>IF(AND(Riesgos!$AB$32="Baja",Riesgos!$AD$32="Menor"),CONCATENATE("R5C",Riesgos!$R$32),"")</f>
        <v/>
      </c>
      <c r="U40" s="63" t="str">
        <f>IF(AND(Riesgos!$AB$33="Baja",Riesgos!$AD$33="Menor"),CONCATENATE("R5C",Riesgos!$R$33),"")</f>
        <v/>
      </c>
      <c r="V40" s="61" t="str">
        <f>IF(AND(Riesgos!$AB$28="Baja",Riesgos!$AD$28="Moderado"),CONCATENATE("R5C",Riesgos!$R$28),"")</f>
        <v/>
      </c>
      <c r="W40" s="62" t="str">
        <f>IF(AND(Riesgos!$AB$29="Baja",Riesgos!$AD$29="Moderado"),CONCATENATE("R5C",Riesgos!$R$29),"")</f>
        <v/>
      </c>
      <c r="X40" s="62" t="str">
        <f>IF(AND(Riesgos!$AB$30="Baja",Riesgos!$AD$30="Moderado"),CONCATENATE("R5C",Riesgos!$R$30),"")</f>
        <v/>
      </c>
      <c r="Y40" s="62" t="str">
        <f>IF(AND(Riesgos!$AB$31="Baja",Riesgos!$AD$31="Moderado"),CONCATENATE("R5C",Riesgos!$R$31),"")</f>
        <v/>
      </c>
      <c r="Z40" s="62" t="str">
        <f>IF(AND(Riesgos!$AB$32="Baja",Riesgos!$AD$32="Moderado"),CONCATENATE("R5C",Riesgos!$R$32),"")</f>
        <v/>
      </c>
      <c r="AA40" s="63" t="str">
        <f>IF(AND(Riesgos!$AB$33="Baja",Riesgos!$AD$33="Moderado"),CONCATENATE("R5C",Riesgos!$R$33),"")</f>
        <v/>
      </c>
      <c r="AB40" s="46" t="str">
        <f>IF(AND(Riesgos!$AB$28="Baja",Riesgos!$AD$28="Mayor"),CONCATENATE("R5C",Riesgos!$R$28),"")</f>
        <v>R5C1</v>
      </c>
      <c r="AC40" s="47" t="str">
        <f>IF(AND(Riesgos!$AB$29="Baja",Riesgos!$AD$29="Mayor"),CONCATENATE("R5C",Riesgos!$R$29),"")</f>
        <v/>
      </c>
      <c r="AD40" s="47" t="str">
        <f>IF(AND(Riesgos!$AB$30="Baja",Riesgos!$AD$30="Mayor"),CONCATENATE("R5C",Riesgos!$R$30),"")</f>
        <v/>
      </c>
      <c r="AE40" s="47" t="str">
        <f>IF(AND(Riesgos!$AB$31="Baja",Riesgos!$AD$31="Mayor"),CONCATENATE("R5C",Riesgos!$R$31),"")</f>
        <v/>
      </c>
      <c r="AF40" s="47" t="str">
        <f>IF(AND(Riesgos!$AB$32="Baja",Riesgos!$AD$32="Mayor"),CONCATENATE("R5C",Riesgos!$R$32),"")</f>
        <v/>
      </c>
      <c r="AG40" s="48" t="str">
        <f>IF(AND(Riesgos!$AB$33="Baja",Riesgos!$AD$33="Mayor"),CONCATENATE("R5C",Riesgos!$R$33),"")</f>
        <v/>
      </c>
      <c r="AH40" s="49" t="str">
        <f>IF(AND(Riesgos!$AB$28="Baja",Riesgos!$AD$28="Catastrófico"),CONCATENATE("R5C",Riesgos!$R$28),"")</f>
        <v/>
      </c>
      <c r="AI40" s="50" t="str">
        <f>IF(AND(Riesgos!$AB$29="Baja",Riesgos!$AD$29="Catastrófico"),CONCATENATE("R5C",Riesgos!$R$29),"")</f>
        <v/>
      </c>
      <c r="AJ40" s="50" t="str">
        <f>IF(AND(Riesgos!$AB$30="Baja",Riesgos!$AD$30="Catastrófico"),CONCATENATE("R5C",Riesgos!$R$30),"")</f>
        <v/>
      </c>
      <c r="AK40" s="50" t="str">
        <f>IF(AND(Riesgos!$AB$31="Baja",Riesgos!$AD$31="Catastrófico"),CONCATENATE("R5C",Riesgos!$R$31),"")</f>
        <v/>
      </c>
      <c r="AL40" s="50" t="str">
        <f>IF(AND(Riesgos!$AB$32="Baja",Riesgos!$AD$32="Catastrófico"),CONCATENATE("R5C",Riesgos!$R$32),"")</f>
        <v/>
      </c>
      <c r="AM40" s="51" t="str">
        <f>IF(AND(Riesgos!$AB$33="Baja",Riesgos!$AD$33="Catastrófico"),CONCATENATE("R5C",Riesgos!$R$33),"")</f>
        <v/>
      </c>
      <c r="AN40" s="77"/>
      <c r="AO40" s="462"/>
      <c r="AP40" s="463"/>
      <c r="AQ40" s="463"/>
      <c r="AR40" s="463"/>
      <c r="AS40" s="463"/>
      <c r="AT40" s="464"/>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77"/>
      <c r="BW40" s="77"/>
      <c r="BX40" s="77"/>
    </row>
    <row r="41" spans="1:80" ht="15" customHeight="1" x14ac:dyDescent="0.25">
      <c r="A41" s="77"/>
      <c r="B41" s="390"/>
      <c r="C41" s="390"/>
      <c r="D41" s="391"/>
      <c r="E41" s="431"/>
      <c r="F41" s="432"/>
      <c r="G41" s="432"/>
      <c r="H41" s="432"/>
      <c r="I41" s="432"/>
      <c r="J41" s="70" t="str">
        <f>IF(AND(Riesgos!$AB$34="Baja",Riesgos!$AD$34="Leve"),CONCATENATE("R6C",Riesgos!$R$34),"")</f>
        <v/>
      </c>
      <c r="K41" s="71" t="str">
        <f>IF(AND(Riesgos!$AB$35="Baja",Riesgos!$AD$35="Leve"),CONCATENATE("R6C",Riesgos!$R$35),"")</f>
        <v/>
      </c>
      <c r="L41" s="71" t="str">
        <f>IF(AND(Riesgos!$AB$36="Baja",Riesgos!$AD$36="Leve"),CONCATENATE("R6C",Riesgos!$R$36),"")</f>
        <v/>
      </c>
      <c r="M41" s="71" t="str">
        <f>IF(AND(Riesgos!$AB$37="Baja",Riesgos!$AD$37="Leve"),CONCATENATE("R6C",Riesgos!$R$37),"")</f>
        <v/>
      </c>
      <c r="N41" s="71" t="str">
        <f>IF(AND(Riesgos!$AB$38="Baja",Riesgos!$AD$38="Leve"),CONCATENATE("R6C",Riesgos!$R$38),"")</f>
        <v/>
      </c>
      <c r="O41" s="72" t="str">
        <f>IF(AND(Riesgos!$AB$39="Baja",Riesgos!$AD$39="Leve"),CONCATENATE("R6C",Riesgos!$R$39),"")</f>
        <v/>
      </c>
      <c r="P41" s="61" t="str">
        <f>IF(AND(Riesgos!$AB$34="Baja",Riesgos!$AD$34="Menor"),CONCATENATE("R6C",Riesgos!$R$34),"")</f>
        <v/>
      </c>
      <c r="Q41" s="62" t="str">
        <f>IF(AND(Riesgos!$AB$35="Baja",Riesgos!$AD$35="Menor"),CONCATENATE("R6C",Riesgos!$R$35),"")</f>
        <v/>
      </c>
      <c r="R41" s="62" t="str">
        <f>IF(AND(Riesgos!$AB$36="Baja",Riesgos!$AD$36="Menor"),CONCATENATE("R6C",Riesgos!$R$36),"")</f>
        <v/>
      </c>
      <c r="S41" s="62" t="str">
        <f>IF(AND(Riesgos!$AB$37="Baja",Riesgos!$AD$37="Menor"),CONCATENATE("R6C",Riesgos!$R$37),"")</f>
        <v/>
      </c>
      <c r="T41" s="62" t="str">
        <f>IF(AND(Riesgos!$AB$38="Baja",Riesgos!$AD$38="Menor"),CONCATENATE("R6C",Riesgos!$R$38),"")</f>
        <v/>
      </c>
      <c r="U41" s="63" t="str">
        <f>IF(AND(Riesgos!$AB$39="Baja",Riesgos!$AD$39="Menor"),CONCATENATE("R6C",Riesgos!$R$39),"")</f>
        <v/>
      </c>
      <c r="V41" s="61" t="str">
        <f>IF(AND(Riesgos!$AB$34="Baja",Riesgos!$AD$34="Moderado"),CONCATENATE("R6C",Riesgos!$R$34),"")</f>
        <v/>
      </c>
      <c r="W41" s="62" t="str">
        <f>IF(AND(Riesgos!$AB$35="Baja",Riesgos!$AD$35="Moderado"),CONCATENATE("R6C",Riesgos!$R$35),"")</f>
        <v>R6C2</v>
      </c>
      <c r="X41" s="62" t="str">
        <f>IF(AND(Riesgos!$AB$36="Baja",Riesgos!$AD$36="Moderado"),CONCATENATE("R6C",Riesgos!$R$36),"")</f>
        <v/>
      </c>
      <c r="Y41" s="62" t="str">
        <f>IF(AND(Riesgos!$AB$37="Baja",Riesgos!$AD$37="Moderado"),CONCATENATE("R6C",Riesgos!$R$37),"")</f>
        <v/>
      </c>
      <c r="Z41" s="62" t="str">
        <f>IF(AND(Riesgos!$AB$38="Baja",Riesgos!$AD$38="Moderado"),CONCATENATE("R6C",Riesgos!$R$38),"")</f>
        <v/>
      </c>
      <c r="AA41" s="63" t="str">
        <f>IF(AND(Riesgos!$AB$39="Baja",Riesgos!$AD$39="Moderado"),CONCATENATE("R6C",Riesgos!$R$39),"")</f>
        <v/>
      </c>
      <c r="AB41" s="46" t="str">
        <f>IF(AND(Riesgos!$AB$34="Baja",Riesgos!$AD$34="Mayor"),CONCATENATE("R6C",Riesgos!$R$34),"")</f>
        <v/>
      </c>
      <c r="AC41" s="47" t="str">
        <f>IF(AND(Riesgos!$AB$35="Baja",Riesgos!$AD$35="Mayor"),CONCATENATE("R6C",Riesgos!$R$35),"")</f>
        <v/>
      </c>
      <c r="AD41" s="47" t="str">
        <f>IF(AND(Riesgos!$AB$36="Baja",Riesgos!$AD$36="Mayor"),CONCATENATE("R6C",Riesgos!$R$36),"")</f>
        <v/>
      </c>
      <c r="AE41" s="47" t="str">
        <f>IF(AND(Riesgos!$AB$37="Baja",Riesgos!$AD$37="Mayor"),CONCATENATE("R6C",Riesgos!$R$37),"")</f>
        <v/>
      </c>
      <c r="AF41" s="47" t="str">
        <f>IF(AND(Riesgos!$AB$38="Baja",Riesgos!$AD$38="Mayor"),CONCATENATE("R6C",Riesgos!$R$38),"")</f>
        <v/>
      </c>
      <c r="AG41" s="48" t="str">
        <f>IF(AND(Riesgos!$AB$39="Baja",Riesgos!$AD$39="Mayor"),CONCATENATE("R6C",Riesgos!$R$39),"")</f>
        <v/>
      </c>
      <c r="AH41" s="49" t="str">
        <f>IF(AND(Riesgos!$AB$34="Baja",Riesgos!$AD$34="Catastrófico"),CONCATENATE("R6C",Riesgos!$R$34),"")</f>
        <v/>
      </c>
      <c r="AI41" s="50" t="str">
        <f>IF(AND(Riesgos!$AB$35="Baja",Riesgos!$AD$35="Catastrófico"),CONCATENATE("R6C",Riesgos!$R$35),"")</f>
        <v/>
      </c>
      <c r="AJ41" s="50" t="str">
        <f>IF(AND(Riesgos!$AB$36="Baja",Riesgos!$AD$36="Catastrófico"),CONCATENATE("R6C",Riesgos!$R$36),"")</f>
        <v/>
      </c>
      <c r="AK41" s="50" t="str">
        <f>IF(AND(Riesgos!$AB$37="Baja",Riesgos!$AD$37="Catastrófico"),CONCATENATE("R6C",Riesgos!$R$37),"")</f>
        <v/>
      </c>
      <c r="AL41" s="50" t="str">
        <f>IF(AND(Riesgos!$AB$38="Baja",Riesgos!$AD$38="Catastrófico"),CONCATENATE("R6C",Riesgos!$R$38),"")</f>
        <v/>
      </c>
      <c r="AM41" s="51" t="str">
        <f>IF(AND(Riesgos!$AB$39="Baja",Riesgos!$AD$39="Catastrófico"),CONCATENATE("R6C",Riesgos!$R$39),"")</f>
        <v/>
      </c>
      <c r="AN41" s="77"/>
      <c r="AO41" s="462"/>
      <c r="AP41" s="463"/>
      <c r="AQ41" s="463"/>
      <c r="AR41" s="463"/>
      <c r="AS41" s="463"/>
      <c r="AT41" s="464"/>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row>
    <row r="42" spans="1:80" ht="15" customHeight="1" x14ac:dyDescent="0.25">
      <c r="A42" s="77"/>
      <c r="B42" s="390"/>
      <c r="C42" s="390"/>
      <c r="D42" s="391"/>
      <c r="E42" s="431"/>
      <c r="F42" s="432"/>
      <c r="G42" s="432"/>
      <c r="H42" s="432"/>
      <c r="I42" s="432"/>
      <c r="J42" s="70" t="str">
        <f>IF(AND(Riesgos!$AB$40="Baja",Riesgos!$AD$40="Leve"),CONCATENATE("R7C",Riesgos!$R$40),"")</f>
        <v/>
      </c>
      <c r="K42" s="71" t="str">
        <f>IF(AND(Riesgos!$AB$41="Baja",Riesgos!$AD$41="Leve"),CONCATENATE("R7C",Riesgos!$R$41),"")</f>
        <v/>
      </c>
      <c r="L42" s="71" t="str">
        <f>IF(AND(Riesgos!$AB$42="Baja",Riesgos!$AD$42="Leve"),CONCATENATE("R7C",Riesgos!$R$42),"")</f>
        <v/>
      </c>
      <c r="M42" s="71" t="str">
        <f>IF(AND(Riesgos!$AB$43="Baja",Riesgos!$AD$43="Leve"),CONCATENATE("R7C",Riesgos!$R$43),"")</f>
        <v/>
      </c>
      <c r="N42" s="71" t="str">
        <f>IF(AND(Riesgos!$AB$44="Baja",Riesgos!$AD$44="Leve"),CONCATENATE("R7C",Riesgos!$R$44),"")</f>
        <v/>
      </c>
      <c r="O42" s="72" t="str">
        <f>IF(AND(Riesgos!$AB$45="Baja",Riesgos!$AD$45="Leve"),CONCATENATE("R7C",Riesgos!$R$45),"")</f>
        <v/>
      </c>
      <c r="P42" s="61" t="str">
        <f>IF(AND(Riesgos!$AB$40="Baja",Riesgos!$AD$40="Menor"),CONCATENATE("R7C",Riesgos!$R$40),"")</f>
        <v/>
      </c>
      <c r="Q42" s="62" t="str">
        <f>IF(AND(Riesgos!$AB$41="Baja",Riesgos!$AD$41="Menor"),CONCATENATE("R7C",Riesgos!$R$41),"")</f>
        <v/>
      </c>
      <c r="R42" s="62" t="str">
        <f>IF(AND(Riesgos!$AB$42="Baja",Riesgos!$AD$42="Menor"),CONCATENATE("R7C",Riesgos!$R$42),"")</f>
        <v/>
      </c>
      <c r="S42" s="62" t="str">
        <f>IF(AND(Riesgos!$AB$43="Baja",Riesgos!$AD$43="Menor"),CONCATENATE("R7C",Riesgos!$R$43),"")</f>
        <v/>
      </c>
      <c r="T42" s="62" t="str">
        <f>IF(AND(Riesgos!$AB$44="Baja",Riesgos!$AD$44="Menor"),CONCATENATE("R7C",Riesgos!$R$44),"")</f>
        <v/>
      </c>
      <c r="U42" s="63" t="str">
        <f>IF(AND(Riesgos!$AB$45="Baja",Riesgos!$AD$45="Menor"),CONCATENATE("R7C",Riesgos!$R$45),"")</f>
        <v/>
      </c>
      <c r="V42" s="61" t="str">
        <f>IF(AND(Riesgos!$AB$40="Baja",Riesgos!$AD$40="Moderado"),CONCATENATE("R7C",Riesgos!$R$40),"")</f>
        <v/>
      </c>
      <c r="W42" s="62" t="str">
        <f>IF(AND(Riesgos!$AB$41="Baja",Riesgos!$AD$41="Moderado"),CONCATENATE("R7C",Riesgos!$R$41),"")</f>
        <v/>
      </c>
      <c r="X42" s="62" t="str">
        <f>IF(AND(Riesgos!$AB$42="Baja",Riesgos!$AD$42="Moderado"),CONCATENATE("R7C",Riesgos!$R$42),"")</f>
        <v/>
      </c>
      <c r="Y42" s="62" t="str">
        <f>IF(AND(Riesgos!$AB$43="Baja",Riesgos!$AD$43="Moderado"),CONCATENATE("R7C",Riesgos!$R$43),"")</f>
        <v>R7C1</v>
      </c>
      <c r="Z42" s="62" t="str">
        <f>IF(AND(Riesgos!$AB$44="Baja",Riesgos!$AD$44="Moderado"),CONCATENATE("R7C",Riesgos!$R$44),"")</f>
        <v>R7C2</v>
      </c>
      <c r="AA42" s="63" t="str">
        <f>IF(AND(Riesgos!$AB$45="Baja",Riesgos!$AD$45="Moderado"),CONCATENATE("R7C",Riesgos!$R$45),"")</f>
        <v/>
      </c>
      <c r="AB42" s="46" t="str">
        <f>IF(AND(Riesgos!$AB$40="Baja",Riesgos!$AD$40="Mayor"),CONCATENATE("R7C",Riesgos!$R$40),"")</f>
        <v/>
      </c>
      <c r="AC42" s="47" t="str">
        <f>IF(AND(Riesgos!$AB$41="Baja",Riesgos!$AD$41="Mayor"),CONCATENATE("R7C",Riesgos!$R$41),"")</f>
        <v/>
      </c>
      <c r="AD42" s="47" t="str">
        <f>IF(AND(Riesgos!$AB$42="Baja",Riesgos!$AD$42="Mayor"),CONCATENATE("R7C",Riesgos!$R$42),"")</f>
        <v/>
      </c>
      <c r="AE42" s="47" t="str">
        <f>IF(AND(Riesgos!$AB$43="Baja",Riesgos!$AD$43="Mayor"),CONCATENATE("R7C",Riesgos!$R$43),"")</f>
        <v/>
      </c>
      <c r="AF42" s="47" t="str">
        <f>IF(AND(Riesgos!$AB$44="Baja",Riesgos!$AD$44="Mayor"),CONCATENATE("R7C",Riesgos!$R$44),"")</f>
        <v/>
      </c>
      <c r="AG42" s="48" t="str">
        <f>IF(AND(Riesgos!$AB$45="Baja",Riesgos!$AD$45="Mayor"),CONCATENATE("R7C",Riesgos!$R$45),"")</f>
        <v/>
      </c>
      <c r="AH42" s="49" t="str">
        <f>IF(AND(Riesgos!$AB$40="Baja",Riesgos!$AD$40="Catastrófico"),CONCATENATE("R7C",Riesgos!$R$40),"")</f>
        <v/>
      </c>
      <c r="AI42" s="50" t="str">
        <f>IF(AND(Riesgos!$AB$41="Baja",Riesgos!$AD$41="Catastrófico"),CONCATENATE("R7C",Riesgos!$R$41),"")</f>
        <v/>
      </c>
      <c r="AJ42" s="50" t="str">
        <f>IF(AND(Riesgos!$AB$42="Baja",Riesgos!$AD$42="Catastrófico"),CONCATENATE("R7C",Riesgos!$R$42),"")</f>
        <v/>
      </c>
      <c r="AK42" s="50" t="str">
        <f>IF(AND(Riesgos!$AB$43="Baja",Riesgos!$AD$43="Catastrófico"),CONCATENATE("R7C",Riesgos!$R$43),"")</f>
        <v/>
      </c>
      <c r="AL42" s="50" t="str">
        <f>IF(AND(Riesgos!$AB$44="Baja",Riesgos!$AD$44="Catastrófico"),CONCATENATE("R7C",Riesgos!$R$44),"")</f>
        <v/>
      </c>
      <c r="AM42" s="51" t="str">
        <f>IF(AND(Riesgos!$AB$45="Baja",Riesgos!$AD$45="Catastrófico"),CONCATENATE("R7C",Riesgos!$R$45),"")</f>
        <v/>
      </c>
      <c r="AN42" s="77"/>
      <c r="AO42" s="462"/>
      <c r="AP42" s="463"/>
      <c r="AQ42" s="463"/>
      <c r="AR42" s="463"/>
      <c r="AS42" s="463"/>
      <c r="AT42" s="464"/>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row>
    <row r="43" spans="1:80" ht="15" customHeight="1" x14ac:dyDescent="0.25">
      <c r="A43" s="77"/>
      <c r="B43" s="390"/>
      <c r="C43" s="390"/>
      <c r="D43" s="391"/>
      <c r="E43" s="431"/>
      <c r="F43" s="432"/>
      <c r="G43" s="432"/>
      <c r="H43" s="432"/>
      <c r="I43" s="432"/>
      <c r="J43" s="70" t="str">
        <f>IF(AND(Riesgos!$AB$46="Baja",Riesgos!$AD$46="Leve"),CONCATENATE("R8C",Riesgos!$R$46),"")</f>
        <v/>
      </c>
      <c r="K43" s="71" t="str">
        <f>IF(AND(Riesgos!$AB$47="Baja",Riesgos!$AD$47="Leve"),CONCATENATE("R8C",Riesgos!$R$47),"")</f>
        <v/>
      </c>
      <c r="L43" s="71" t="str">
        <f>IF(AND(Riesgos!$AB$48="Baja",Riesgos!$AD$48="Leve"),CONCATENATE("R8C",Riesgos!$R$48),"")</f>
        <v/>
      </c>
      <c r="M43" s="71" t="str">
        <f>IF(AND(Riesgos!$AB$49="Baja",Riesgos!$AD$49="Leve"),CONCATENATE("R8C",Riesgos!$R$49),"")</f>
        <v/>
      </c>
      <c r="N43" s="71" t="str">
        <f>IF(AND(Riesgos!$AB$50="Baja",Riesgos!$AD$50="Leve"),CONCATENATE("R8C",Riesgos!$R$50),"")</f>
        <v/>
      </c>
      <c r="O43" s="72" t="str">
        <f>IF(AND(Riesgos!$AB$51="Baja",Riesgos!$AD$51="Leve"),CONCATENATE("R8C",Riesgos!$R$51),"")</f>
        <v/>
      </c>
      <c r="P43" s="61" t="str">
        <f>IF(AND(Riesgos!$AB$46="Baja",Riesgos!$AD$46="Menor"),CONCATENATE("R8C",Riesgos!$R$46),"")</f>
        <v/>
      </c>
      <c r="Q43" s="62" t="str">
        <f>IF(AND(Riesgos!$AB$47="Baja",Riesgos!$AD$47="Menor"),CONCATENATE("R8C",Riesgos!$R$47),"")</f>
        <v/>
      </c>
      <c r="R43" s="62" t="str">
        <f>IF(AND(Riesgos!$AB$48="Baja",Riesgos!$AD$48="Menor"),CONCATENATE("R8C",Riesgos!$R$48),"")</f>
        <v/>
      </c>
      <c r="S43" s="62" t="str">
        <f>IF(AND(Riesgos!$AB$49="Baja",Riesgos!$AD$49="Menor"),CONCATENATE("R8C",Riesgos!$R$49),"")</f>
        <v/>
      </c>
      <c r="T43" s="62" t="str">
        <f>IF(AND(Riesgos!$AB$50="Baja",Riesgos!$AD$50="Menor"),CONCATENATE("R8C",Riesgos!$R$50),"")</f>
        <v/>
      </c>
      <c r="U43" s="63" t="str">
        <f>IF(AND(Riesgos!$AB$51="Baja",Riesgos!$AD$51="Menor"),CONCATENATE("R8C",Riesgos!$R$51),"")</f>
        <v/>
      </c>
      <c r="V43" s="61" t="str">
        <f>IF(AND(Riesgos!$AB$46="Baja",Riesgos!$AD$46="Moderado"),CONCATENATE("R8C",Riesgos!$R$46),"")</f>
        <v/>
      </c>
      <c r="W43" s="62" t="str">
        <f>IF(AND(Riesgos!$AB$47="Baja",Riesgos!$AD$47="Moderado"),CONCATENATE("R8C",Riesgos!$R$47),"")</f>
        <v/>
      </c>
      <c r="X43" s="62" t="str">
        <f>IF(AND(Riesgos!$AB$48="Baja",Riesgos!$AD$48="Moderado"),CONCATENATE("R8C",Riesgos!$R$48),"")</f>
        <v/>
      </c>
      <c r="Y43" s="62" t="str">
        <f>IF(AND(Riesgos!$AB$49="Baja",Riesgos!$AD$49="Moderado"),CONCATENATE("R8C",Riesgos!$R$49),"")</f>
        <v/>
      </c>
      <c r="Z43" s="62" t="str">
        <f>IF(AND(Riesgos!$AB$50="Baja",Riesgos!$AD$50="Moderado"),CONCATENATE("R8C",Riesgos!$R$50),"")</f>
        <v/>
      </c>
      <c r="AA43" s="63" t="str">
        <f>IF(AND(Riesgos!$AB$51="Baja",Riesgos!$AD$51="Moderado"),CONCATENATE("R8C",Riesgos!$R$51),"")</f>
        <v/>
      </c>
      <c r="AB43" s="46" t="str">
        <f>IF(AND(Riesgos!$AB$46="Baja",Riesgos!$AD$46="Mayor"),CONCATENATE("R8C",Riesgos!$R$46),"")</f>
        <v/>
      </c>
      <c r="AC43" s="47" t="str">
        <f>IF(AND(Riesgos!$AB$47="Baja",Riesgos!$AD$47="Mayor"),CONCATENATE("R8C",Riesgos!$R$47),"")</f>
        <v/>
      </c>
      <c r="AD43" s="47" t="str">
        <f>IF(AND(Riesgos!$AB$48="Baja",Riesgos!$AD$48="Mayor"),CONCATENATE("R8C",Riesgos!$R$48),"")</f>
        <v/>
      </c>
      <c r="AE43" s="47" t="str">
        <f>IF(AND(Riesgos!$AB$49="Baja",Riesgos!$AD$49="Mayor"),CONCATENATE("R8C",Riesgos!$R$49),"")</f>
        <v>R8C1</v>
      </c>
      <c r="AF43" s="47" t="str">
        <f>IF(AND(Riesgos!$AB$50="Baja",Riesgos!$AD$50="Mayor"),CONCATENATE("R8C",Riesgos!$R$50),"")</f>
        <v/>
      </c>
      <c r="AG43" s="48" t="str">
        <f>IF(AND(Riesgos!$AB$51="Baja",Riesgos!$AD$51="Mayor"),CONCATENATE("R8C",Riesgos!$R$51),"")</f>
        <v/>
      </c>
      <c r="AH43" s="49" t="str">
        <f>IF(AND(Riesgos!$AB$46="Baja",Riesgos!$AD$46="Catastrófico"),CONCATENATE("R8C",Riesgos!$R$46),"")</f>
        <v/>
      </c>
      <c r="AI43" s="50" t="str">
        <f>IF(AND(Riesgos!$AB$47="Baja",Riesgos!$AD$47="Catastrófico"),CONCATENATE("R8C",Riesgos!$R$47),"")</f>
        <v/>
      </c>
      <c r="AJ43" s="50" t="str">
        <f>IF(AND(Riesgos!$AB$48="Baja",Riesgos!$AD$48="Catastrófico"),CONCATENATE("R8C",Riesgos!$R$48),"")</f>
        <v/>
      </c>
      <c r="AK43" s="50" t="str">
        <f>IF(AND(Riesgos!$AB$49="Baja",Riesgos!$AD$49="Catastrófico"),CONCATENATE("R8C",Riesgos!$R$49),"")</f>
        <v/>
      </c>
      <c r="AL43" s="50" t="str">
        <f>IF(AND(Riesgos!$AB$50="Baja",Riesgos!$AD$50="Catastrófico"),CONCATENATE("R8C",Riesgos!$R$50),"")</f>
        <v/>
      </c>
      <c r="AM43" s="51" t="str">
        <f>IF(AND(Riesgos!$AB$51="Baja",Riesgos!$AD$51="Catastrófico"),CONCATENATE("R8C",Riesgos!$R$51),"")</f>
        <v/>
      </c>
      <c r="AN43" s="77"/>
      <c r="AO43" s="462"/>
      <c r="AP43" s="463"/>
      <c r="AQ43" s="463"/>
      <c r="AR43" s="463"/>
      <c r="AS43" s="463"/>
      <c r="AT43" s="464"/>
      <c r="AU43" s="77"/>
      <c r="AV43" s="77"/>
      <c r="AW43" s="77"/>
      <c r="AX43" s="77"/>
      <c r="AY43" s="77"/>
      <c r="AZ43" s="77"/>
      <c r="BA43" s="77"/>
      <c r="BB43" s="77"/>
      <c r="BC43" s="77"/>
      <c r="BD43" s="77"/>
      <c r="BE43" s="77"/>
      <c r="BF43" s="77"/>
      <c r="BG43" s="77"/>
      <c r="BH43" s="77"/>
      <c r="BI43" s="77"/>
      <c r="BJ43" s="77"/>
      <c r="BK43" s="77"/>
      <c r="BL43" s="77"/>
      <c r="BM43" s="77"/>
      <c r="BN43" s="77"/>
      <c r="BO43" s="77"/>
      <c r="BP43" s="77"/>
      <c r="BQ43" s="77"/>
      <c r="BR43" s="77"/>
      <c r="BS43" s="77"/>
      <c r="BT43" s="77"/>
      <c r="BU43" s="77"/>
      <c r="BV43" s="77"/>
      <c r="BW43" s="77"/>
      <c r="BX43" s="77"/>
    </row>
    <row r="44" spans="1:80" ht="15" customHeight="1" x14ac:dyDescent="0.25">
      <c r="A44" s="77"/>
      <c r="B44" s="390"/>
      <c r="C44" s="390"/>
      <c r="D44" s="391"/>
      <c r="E44" s="431"/>
      <c r="F44" s="432"/>
      <c r="G44" s="432"/>
      <c r="H44" s="432"/>
      <c r="I44" s="432"/>
      <c r="J44" s="70" t="str">
        <f>IF(AND(Riesgos!$AB$52="Baja",Riesgos!$AD$52="Leve"),CONCATENATE("R9C",Riesgos!$R$52),"")</f>
        <v/>
      </c>
      <c r="K44" s="71" t="str">
        <f>IF(AND(Riesgos!$AB$53="Baja",Riesgos!$AD$53="Leve"),CONCATENATE("R9C",Riesgos!$R$53),"")</f>
        <v/>
      </c>
      <c r="L44" s="71" t="str">
        <f>IF(AND(Riesgos!$AB$54="Baja",Riesgos!$AD$54="Leve"),CONCATENATE("R9C",Riesgos!$R$54),"")</f>
        <v/>
      </c>
      <c r="M44" s="71" t="str">
        <f>IF(AND(Riesgos!$AB$55="Baja",Riesgos!$AD$55="Leve"),CONCATENATE("R9C",Riesgos!$R$55),"")</f>
        <v/>
      </c>
      <c r="N44" s="71" t="str">
        <f>IF(AND(Riesgos!$AB$56="Baja",Riesgos!$AD$56="Leve"),CONCATENATE("R9C",Riesgos!$R$56),"")</f>
        <v/>
      </c>
      <c r="O44" s="72" t="str">
        <f>IF(AND(Riesgos!$AB$57="Baja",Riesgos!$AD$57="Leve"),CONCATENATE("R9C",Riesgos!$R$57),"")</f>
        <v/>
      </c>
      <c r="P44" s="61" t="str">
        <f>IF(AND(Riesgos!$AB$52="Baja",Riesgos!$AD$52="Menor"),CONCATENATE("R9C",Riesgos!$R$52),"")</f>
        <v/>
      </c>
      <c r="Q44" s="62" t="str">
        <f>IF(AND(Riesgos!$AB$53="Baja",Riesgos!$AD$53="Menor"),CONCATENATE("R9C",Riesgos!$R$53),"")</f>
        <v/>
      </c>
      <c r="R44" s="62" t="str">
        <f>IF(AND(Riesgos!$AB$54="Baja",Riesgos!$AD$54="Menor"),CONCATENATE("R9C",Riesgos!$R$54),"")</f>
        <v/>
      </c>
      <c r="S44" s="62" t="str">
        <f>IF(AND(Riesgos!$AB$55="Baja",Riesgos!$AD$55="Menor"),CONCATENATE("R9C",Riesgos!$R$55),"")</f>
        <v/>
      </c>
      <c r="T44" s="62" t="str">
        <f>IF(AND(Riesgos!$AB$56="Baja",Riesgos!$AD$56="Menor"),CONCATENATE("R9C",Riesgos!$R$56),"")</f>
        <v/>
      </c>
      <c r="U44" s="63" t="str">
        <f>IF(AND(Riesgos!$AB$57="Baja",Riesgos!$AD$57="Menor"),CONCATENATE("R9C",Riesgos!$R$57),"")</f>
        <v/>
      </c>
      <c r="V44" s="61" t="str">
        <f>IF(AND(Riesgos!$AB$52="Baja",Riesgos!$AD$52="Moderado"),CONCATENATE("R9C",Riesgos!$R$52),"")</f>
        <v/>
      </c>
      <c r="W44" s="62" t="str">
        <f>IF(AND(Riesgos!$AB$53="Baja",Riesgos!$AD$53="Moderado"),CONCATENATE("R9C",Riesgos!$R$53),"")</f>
        <v/>
      </c>
      <c r="X44" s="62" t="str">
        <f>IF(AND(Riesgos!$AB$54="Baja",Riesgos!$AD$54="Moderado"),CONCATENATE("R9C",Riesgos!$R$54),"")</f>
        <v/>
      </c>
      <c r="Y44" s="62" t="str">
        <f>IF(AND(Riesgos!$AB$55="Baja",Riesgos!$AD$55="Moderado"),CONCATENATE("R9C",Riesgos!$R$55),"")</f>
        <v/>
      </c>
      <c r="Z44" s="62" t="str">
        <f>IF(AND(Riesgos!$AB$56="Baja",Riesgos!$AD$56="Moderado"),CONCATENATE("R9C",Riesgos!$R$56),"")</f>
        <v>R9C2</v>
      </c>
      <c r="AA44" s="63" t="str">
        <f>IF(AND(Riesgos!$AB$57="Baja",Riesgos!$AD$57="Moderado"),CONCATENATE("R9C",Riesgos!$R$57),"")</f>
        <v/>
      </c>
      <c r="AB44" s="46" t="str">
        <f>IF(AND(Riesgos!$AB$52="Baja",Riesgos!$AD$52="Mayor"),CONCATENATE("R9C",Riesgos!$R$52),"")</f>
        <v/>
      </c>
      <c r="AC44" s="47" t="str">
        <f>IF(AND(Riesgos!$AB$53="Baja",Riesgos!$AD$53="Mayor"),CONCATENATE("R9C",Riesgos!$R$53),"")</f>
        <v/>
      </c>
      <c r="AD44" s="47" t="str">
        <f>IF(AND(Riesgos!$AB$54="Baja",Riesgos!$AD$54="Mayor"),CONCATENATE("R9C",Riesgos!$R$54),"")</f>
        <v/>
      </c>
      <c r="AE44" s="47" t="str">
        <f>IF(AND(Riesgos!$AB$55="Baja",Riesgos!$AD$55="Mayor"),CONCATENATE("R9C",Riesgos!$R$55),"")</f>
        <v/>
      </c>
      <c r="AF44" s="47" t="str">
        <f>IF(AND(Riesgos!$AB$56="Baja",Riesgos!$AD$56="Mayor"),CONCATENATE("R9C",Riesgos!$R$56),"")</f>
        <v/>
      </c>
      <c r="AG44" s="48" t="str">
        <f>IF(AND(Riesgos!$AB$57="Baja",Riesgos!$AD$57="Mayor"),CONCATENATE("R9C",Riesgos!$R$57),"")</f>
        <v/>
      </c>
      <c r="AH44" s="49" t="str">
        <f>IF(AND(Riesgos!$AB$52="Baja",Riesgos!$AD$52="Catastrófico"),CONCATENATE("R9C",Riesgos!$R$52),"")</f>
        <v/>
      </c>
      <c r="AI44" s="50" t="str">
        <f>IF(AND(Riesgos!$AB$53="Baja",Riesgos!$AD$53="Catastrófico"),CONCATENATE("R9C",Riesgos!$R$53),"")</f>
        <v/>
      </c>
      <c r="AJ44" s="50" t="str">
        <f>IF(AND(Riesgos!$AB$54="Baja",Riesgos!$AD$54="Catastrófico"),CONCATENATE("R9C",Riesgos!$R$54),"")</f>
        <v/>
      </c>
      <c r="AK44" s="50" t="str">
        <f>IF(AND(Riesgos!$AB$55="Baja",Riesgos!$AD$55="Catastrófico"),CONCATENATE("R9C",Riesgos!$R$55),"")</f>
        <v/>
      </c>
      <c r="AL44" s="50" t="str">
        <f>IF(AND(Riesgos!$AB$56="Baja",Riesgos!$AD$56="Catastrófico"),CONCATENATE("R9C",Riesgos!$R$56),"")</f>
        <v/>
      </c>
      <c r="AM44" s="51" t="str">
        <f>IF(AND(Riesgos!$AB$57="Baja",Riesgos!$AD$57="Catastrófico"),CONCATENATE("R9C",Riesgos!$R$57),"")</f>
        <v/>
      </c>
      <c r="AN44" s="77"/>
      <c r="AO44" s="462"/>
      <c r="AP44" s="463"/>
      <c r="AQ44" s="463"/>
      <c r="AR44" s="463"/>
      <c r="AS44" s="463"/>
      <c r="AT44" s="464"/>
      <c r="AU44" s="77"/>
      <c r="AV44" s="77"/>
      <c r="AW44" s="77"/>
      <c r="AX44" s="77"/>
      <c r="AY44" s="77"/>
      <c r="AZ44" s="77"/>
      <c r="BA44" s="77"/>
      <c r="BB44" s="77"/>
      <c r="BC44" s="77"/>
      <c r="BD44" s="77"/>
      <c r="BE44" s="77"/>
      <c r="BF44" s="77"/>
      <c r="BG44" s="77"/>
      <c r="BH44" s="77"/>
      <c r="BI44" s="77"/>
      <c r="BJ44" s="77"/>
      <c r="BK44" s="77"/>
      <c r="BL44" s="77"/>
      <c r="BM44" s="77"/>
      <c r="BN44" s="77"/>
      <c r="BO44" s="77"/>
      <c r="BP44" s="77"/>
      <c r="BQ44" s="77"/>
      <c r="BR44" s="77"/>
      <c r="BS44" s="77"/>
      <c r="BT44" s="77"/>
      <c r="BU44" s="77"/>
      <c r="BV44" s="77"/>
      <c r="BW44" s="77"/>
      <c r="BX44" s="77"/>
    </row>
    <row r="45" spans="1:80" ht="15.75" customHeight="1" thickBot="1" x14ac:dyDescent="0.3">
      <c r="A45" s="77"/>
      <c r="B45" s="390"/>
      <c r="C45" s="390"/>
      <c r="D45" s="391"/>
      <c r="E45" s="434"/>
      <c r="F45" s="435"/>
      <c r="G45" s="435"/>
      <c r="H45" s="435"/>
      <c r="I45" s="435"/>
      <c r="J45" s="73" t="e">
        <f>IF(AND(Riesgos!#REF!="Baja",Riesgos!#REF!="Leve"),CONCATENATE("R10C",Riesgos!#REF!),"")</f>
        <v>#REF!</v>
      </c>
      <c r="K45" s="74" t="e">
        <f>IF(AND(Riesgos!#REF!="Baja",Riesgos!#REF!="Leve"),CONCATENATE("R10C",Riesgos!#REF!),"")</f>
        <v>#REF!</v>
      </c>
      <c r="L45" s="74" t="e">
        <f>IF(AND(Riesgos!#REF!="Baja",Riesgos!#REF!="Leve"),CONCATENATE("R10C",Riesgos!#REF!),"")</f>
        <v>#REF!</v>
      </c>
      <c r="M45" s="74" t="e">
        <f>IF(AND(Riesgos!#REF!="Baja",Riesgos!#REF!="Leve"),CONCATENATE("R10C",Riesgos!#REF!),"")</f>
        <v>#REF!</v>
      </c>
      <c r="N45" s="74" t="e">
        <f>IF(AND(Riesgos!#REF!="Baja",Riesgos!#REF!="Leve"),CONCATENATE("R10C",Riesgos!#REF!),"")</f>
        <v>#REF!</v>
      </c>
      <c r="O45" s="75" t="e">
        <f>IF(AND(Riesgos!#REF!="Baja",Riesgos!#REF!="Leve"),CONCATENATE("R10C",Riesgos!#REF!),"")</f>
        <v>#REF!</v>
      </c>
      <c r="P45" s="61" t="e">
        <f>IF(AND(Riesgos!#REF!="Baja",Riesgos!#REF!="Menor"),CONCATENATE("R10C",Riesgos!#REF!),"")</f>
        <v>#REF!</v>
      </c>
      <c r="Q45" s="62" t="e">
        <f>IF(AND(Riesgos!#REF!="Baja",Riesgos!#REF!="Menor"),CONCATENATE("R10C",Riesgos!#REF!),"")</f>
        <v>#REF!</v>
      </c>
      <c r="R45" s="62" t="e">
        <f>IF(AND(Riesgos!#REF!="Baja",Riesgos!#REF!="Menor"),CONCATENATE("R10C",Riesgos!#REF!),"")</f>
        <v>#REF!</v>
      </c>
      <c r="S45" s="62" t="e">
        <f>IF(AND(Riesgos!#REF!="Baja",Riesgos!#REF!="Menor"),CONCATENATE("R10C",Riesgos!#REF!),"")</f>
        <v>#REF!</v>
      </c>
      <c r="T45" s="62" t="e">
        <f>IF(AND(Riesgos!#REF!="Baja",Riesgos!#REF!="Menor"),CONCATENATE("R10C",Riesgos!#REF!),"")</f>
        <v>#REF!</v>
      </c>
      <c r="U45" s="63" t="e">
        <f>IF(AND(Riesgos!#REF!="Baja",Riesgos!#REF!="Menor"),CONCATENATE("R10C",Riesgos!#REF!),"")</f>
        <v>#REF!</v>
      </c>
      <c r="V45" s="64" t="e">
        <f>IF(AND(Riesgos!#REF!="Baja",Riesgos!#REF!="Moderado"),CONCATENATE("R10C",Riesgos!#REF!),"")</f>
        <v>#REF!</v>
      </c>
      <c r="W45" s="65" t="e">
        <f>IF(AND(Riesgos!#REF!="Baja",Riesgos!#REF!="Moderado"),CONCATENATE("R10C",Riesgos!#REF!),"")</f>
        <v>#REF!</v>
      </c>
      <c r="X45" s="65" t="e">
        <f>IF(AND(Riesgos!#REF!="Baja",Riesgos!#REF!="Moderado"),CONCATENATE("R10C",Riesgos!#REF!),"")</f>
        <v>#REF!</v>
      </c>
      <c r="Y45" s="65" t="e">
        <f>IF(AND(Riesgos!#REF!="Baja",Riesgos!#REF!="Moderado"),CONCATENATE("R10C",Riesgos!#REF!),"")</f>
        <v>#REF!</v>
      </c>
      <c r="Z45" s="65" t="e">
        <f>IF(AND(Riesgos!#REF!="Baja",Riesgos!#REF!="Moderado"),CONCATENATE("R10C",Riesgos!#REF!),"")</f>
        <v>#REF!</v>
      </c>
      <c r="AA45" s="66" t="e">
        <f>IF(AND(Riesgos!#REF!="Baja",Riesgos!#REF!="Moderado"),CONCATENATE("R10C",Riesgos!#REF!),"")</f>
        <v>#REF!</v>
      </c>
      <c r="AB45" s="52" t="e">
        <f>IF(AND(Riesgos!#REF!="Baja",Riesgos!#REF!="Mayor"),CONCATENATE("R10C",Riesgos!#REF!),"")</f>
        <v>#REF!</v>
      </c>
      <c r="AC45" s="53" t="e">
        <f>IF(AND(Riesgos!#REF!="Baja",Riesgos!#REF!="Mayor"),CONCATENATE("R10C",Riesgos!#REF!),"")</f>
        <v>#REF!</v>
      </c>
      <c r="AD45" s="53" t="e">
        <f>IF(AND(Riesgos!#REF!="Baja",Riesgos!#REF!="Mayor"),CONCATENATE("R10C",Riesgos!#REF!),"")</f>
        <v>#REF!</v>
      </c>
      <c r="AE45" s="53" t="e">
        <f>IF(AND(Riesgos!#REF!="Baja",Riesgos!#REF!="Mayor"),CONCATENATE("R10C",Riesgos!#REF!),"")</f>
        <v>#REF!</v>
      </c>
      <c r="AF45" s="53" t="e">
        <f>IF(AND(Riesgos!#REF!="Baja",Riesgos!#REF!="Mayor"),CONCATENATE("R10C",Riesgos!#REF!),"")</f>
        <v>#REF!</v>
      </c>
      <c r="AG45" s="54" t="e">
        <f>IF(AND(Riesgos!#REF!="Baja",Riesgos!#REF!="Mayor"),CONCATENATE("R10C",Riesgos!#REF!),"")</f>
        <v>#REF!</v>
      </c>
      <c r="AH45" s="55" t="e">
        <f>IF(AND(Riesgos!#REF!="Baja",Riesgos!#REF!="Catastrófico"),CONCATENATE("R10C",Riesgos!#REF!),"")</f>
        <v>#REF!</v>
      </c>
      <c r="AI45" s="56" t="e">
        <f>IF(AND(Riesgos!#REF!="Baja",Riesgos!#REF!="Catastrófico"),CONCATENATE("R10C",Riesgos!#REF!),"")</f>
        <v>#REF!</v>
      </c>
      <c r="AJ45" s="56" t="e">
        <f>IF(AND(Riesgos!#REF!="Baja",Riesgos!#REF!="Catastrófico"),CONCATENATE("R10C",Riesgos!#REF!),"")</f>
        <v>#REF!</v>
      </c>
      <c r="AK45" s="56" t="e">
        <f>IF(AND(Riesgos!#REF!="Baja",Riesgos!#REF!="Catastrófico"),CONCATENATE("R10C",Riesgos!#REF!),"")</f>
        <v>#REF!</v>
      </c>
      <c r="AL45" s="56" t="e">
        <f>IF(AND(Riesgos!#REF!="Baja",Riesgos!#REF!="Catastrófico"),CONCATENATE("R10C",Riesgos!#REF!),"")</f>
        <v>#REF!</v>
      </c>
      <c r="AM45" s="57" t="e">
        <f>IF(AND(Riesgos!#REF!="Baja",Riesgos!#REF!="Catastrófico"),CONCATENATE("R10C",Riesgos!#REF!),"")</f>
        <v>#REF!</v>
      </c>
      <c r="AN45" s="77"/>
      <c r="AO45" s="465"/>
      <c r="AP45" s="466"/>
      <c r="AQ45" s="466"/>
      <c r="AR45" s="466"/>
      <c r="AS45" s="466"/>
      <c r="AT45" s="467"/>
    </row>
    <row r="46" spans="1:80" ht="46.5" customHeight="1" x14ac:dyDescent="0.35">
      <c r="A46" s="77"/>
      <c r="B46" s="390"/>
      <c r="C46" s="390"/>
      <c r="D46" s="391"/>
      <c r="E46" s="428" t="s">
        <v>110</v>
      </c>
      <c r="F46" s="429"/>
      <c r="G46" s="429"/>
      <c r="H46" s="429"/>
      <c r="I46" s="430"/>
      <c r="J46" s="67" t="str">
        <f>IF(AND(Riesgos!$AB$10="Muy Baja",Riesgos!$AD$10="Leve"),CONCATENATE("R1C",Riesgos!$R$10),"")</f>
        <v/>
      </c>
      <c r="K46" s="68" t="str">
        <f>IF(AND(Riesgos!$AB$11="Muy Baja",Riesgos!$AD$11="Leve"),CONCATENATE("R1C",Riesgos!$R$11),"")</f>
        <v/>
      </c>
      <c r="L46" s="68" t="str">
        <f>IF(AND(Riesgos!$AB$12="Muy Baja",Riesgos!$AD$12="Leve"),CONCATENATE("R1C",Riesgos!$R$12),"")</f>
        <v/>
      </c>
      <c r="M46" s="68" t="str">
        <f>IF(AND(Riesgos!$AB$13="Muy Baja",Riesgos!$AD$13="Leve"),CONCATENATE("R1C",Riesgos!$R$13),"")</f>
        <v/>
      </c>
      <c r="N46" s="68" t="str">
        <f>IF(AND(Riesgos!$AB$14="Muy Baja",Riesgos!$AD$14="Leve"),CONCATENATE("R1C",Riesgos!$R$14),"")</f>
        <v/>
      </c>
      <c r="O46" s="69" t="str">
        <f>IF(AND(Riesgos!$AB$15="Muy Baja",Riesgos!$AD$15="Leve"),CONCATENATE("R1C",Riesgos!$R$15),"")</f>
        <v/>
      </c>
      <c r="P46" s="67" t="str">
        <f>IF(AND(Riesgos!$AB$10="Muy Baja",Riesgos!$AD$10="Menor"),CONCATENATE("R1C",Riesgos!$R$10),"")</f>
        <v/>
      </c>
      <c r="Q46" s="68" t="str">
        <f>IF(AND(Riesgos!$AB$11="Muy Baja",Riesgos!$AD$11="Menor"),CONCATENATE("R1C",Riesgos!$R$11),"")</f>
        <v/>
      </c>
      <c r="R46" s="68" t="str">
        <f>IF(AND(Riesgos!$AB$12="Muy Baja",Riesgos!$AD$12="Menor"),CONCATENATE("R1C",Riesgos!$R$12),"")</f>
        <v/>
      </c>
      <c r="S46" s="68" t="str">
        <f>IF(AND(Riesgos!$AB$13="Muy Baja",Riesgos!$AD$13="Menor"),CONCATENATE("R1C",Riesgos!$R$13),"")</f>
        <v/>
      </c>
      <c r="T46" s="68" t="str">
        <f>IF(AND(Riesgos!$AB$14="Muy Baja",Riesgos!$AD$14="Menor"),CONCATENATE("R1C",Riesgos!$R$14),"")</f>
        <v/>
      </c>
      <c r="U46" s="69" t="str">
        <f>IF(AND(Riesgos!$AB$15="Muy Baja",Riesgos!$AD$15="Menor"),CONCATENATE("R1C",Riesgos!$R$15),"")</f>
        <v/>
      </c>
      <c r="V46" s="58" t="str">
        <f>IF(AND(Riesgos!$AB$10="Muy Baja",Riesgos!$AD$10="Moderado"),CONCATENATE("R1C",Riesgos!$R$10),"")</f>
        <v/>
      </c>
      <c r="W46" s="76" t="str">
        <f>IF(AND(Riesgos!$AB$11="Muy Baja",Riesgos!$AD$11="Moderado"),CONCATENATE("R1C",Riesgos!$R$11),"")</f>
        <v/>
      </c>
      <c r="X46" s="59" t="str">
        <f>IF(AND(Riesgos!$AB$12="Muy Baja",Riesgos!$AD$12="Moderado"),CONCATENATE("R1C",Riesgos!$R$12),"")</f>
        <v/>
      </c>
      <c r="Y46" s="59" t="str">
        <f>IF(AND(Riesgos!$AB$13="Muy Baja",Riesgos!$AD$13="Moderado"),CONCATENATE("R1C",Riesgos!$R$13),"")</f>
        <v/>
      </c>
      <c r="Z46" s="59" t="str">
        <f>IF(AND(Riesgos!$AB$14="Muy Baja",Riesgos!$AD$14="Moderado"),CONCATENATE("R1C",Riesgos!$R$14),"")</f>
        <v/>
      </c>
      <c r="AA46" s="60" t="str">
        <f>IF(AND(Riesgos!$AB$15="Muy Baja",Riesgos!$AD$15="Moderado"),CONCATENATE("R1C",Riesgos!$R$15),"")</f>
        <v/>
      </c>
      <c r="AB46" s="40" t="str">
        <f>IF(AND(Riesgos!$AB$10="Muy Baja",Riesgos!$AD$10="Mayor"),CONCATENATE("R1C",Riesgos!$R$10),"")</f>
        <v>R1C1</v>
      </c>
      <c r="AC46" s="41" t="str">
        <f>IF(AND(Riesgos!$AB$11="Muy Baja",Riesgos!$AD$11="Mayor"),CONCATENATE("R1C",Riesgos!$R$11),"")</f>
        <v/>
      </c>
      <c r="AD46" s="41" t="str">
        <f>IF(AND(Riesgos!$AB$12="Muy Baja",Riesgos!$AD$12="Mayor"),CONCATENATE("R1C",Riesgos!$R$12),"")</f>
        <v/>
      </c>
      <c r="AE46" s="41" t="str">
        <f>IF(AND(Riesgos!$AB$13="Muy Baja",Riesgos!$AD$13="Mayor"),CONCATENATE("R1C",Riesgos!$R$13),"")</f>
        <v/>
      </c>
      <c r="AF46" s="41" t="str">
        <f>IF(AND(Riesgos!$AB$14="Muy Baja",Riesgos!$AD$14="Mayor"),CONCATENATE("R1C",Riesgos!$R$14),"")</f>
        <v/>
      </c>
      <c r="AG46" s="42" t="str">
        <f>IF(AND(Riesgos!$AB$15="Muy Baja",Riesgos!$AD$15="Mayor"),CONCATENATE("R1C",Riesgos!$R$15),"")</f>
        <v/>
      </c>
      <c r="AH46" s="43" t="str">
        <f>IF(AND(Riesgos!$AB$10="Muy Baja",Riesgos!$AD$10="Catastrófico"),CONCATENATE("R1C",Riesgos!$R$10),"")</f>
        <v/>
      </c>
      <c r="AI46" s="44" t="str">
        <f>IF(AND(Riesgos!$AB$11="Muy Baja",Riesgos!$AD$11="Catastrófico"),CONCATENATE("R1C",Riesgos!$R$11),"")</f>
        <v/>
      </c>
      <c r="AJ46" s="44" t="str">
        <f>IF(AND(Riesgos!$AB$12="Muy Baja",Riesgos!$AD$12="Catastrófico"),CONCATENATE("R1C",Riesgos!$R$12),"")</f>
        <v/>
      </c>
      <c r="AK46" s="44" t="str">
        <f>IF(AND(Riesgos!$AB$13="Muy Baja",Riesgos!$AD$13="Catastrófico"),CONCATENATE("R1C",Riesgos!$R$13),"")</f>
        <v/>
      </c>
      <c r="AL46" s="44" t="str">
        <f>IF(AND(Riesgos!$AB$14="Muy Baja",Riesgos!$AD$14="Catastrófico"),CONCATENATE("R1C",Riesgos!$R$14),"")</f>
        <v/>
      </c>
      <c r="AM46" s="45" t="str">
        <f>IF(AND(Riesgos!$AB$15="Muy Baja",Riesgos!$AD$15="Catastrófico"),CONCATENATE("R1C",Riesgos!$R$15),"")</f>
        <v/>
      </c>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77"/>
      <c r="BS46" s="77"/>
      <c r="BT46" s="77"/>
      <c r="BU46" s="77"/>
      <c r="BV46" s="77"/>
      <c r="BW46" s="77"/>
      <c r="BX46" s="77"/>
      <c r="BY46" s="77"/>
      <c r="BZ46" s="77"/>
      <c r="CA46" s="77"/>
      <c r="CB46" s="77"/>
    </row>
    <row r="47" spans="1:80" ht="46.5" customHeight="1" x14ac:dyDescent="0.25">
      <c r="A47" s="77"/>
      <c r="B47" s="390"/>
      <c r="C47" s="390"/>
      <c r="D47" s="391"/>
      <c r="E47" s="447"/>
      <c r="F47" s="432"/>
      <c r="G47" s="432"/>
      <c r="H47" s="432"/>
      <c r="I47" s="433"/>
      <c r="J47" s="70" t="str">
        <f>IF(AND(Riesgos!$AB$16="Muy Baja",Riesgos!$AD$16="Leve"),CONCATENATE("R2C",Riesgos!$R$16),"")</f>
        <v/>
      </c>
      <c r="K47" s="71" t="str">
        <f>IF(AND(Riesgos!$AB$17="Muy Baja",Riesgos!$AD$17="Leve"),CONCATENATE("R2C",Riesgos!$R$17),"")</f>
        <v/>
      </c>
      <c r="L47" s="71" t="str">
        <f>IF(AND(Riesgos!$AB$18="Muy Baja",Riesgos!$AD$18="Leve"),CONCATENATE("R2C",Riesgos!$R$18),"")</f>
        <v/>
      </c>
      <c r="M47" s="71" t="str">
        <f>IF(AND(Riesgos!$AB$19="Muy Baja",Riesgos!$AD$19="Leve"),CONCATENATE("R2C",Riesgos!$R$19),"")</f>
        <v/>
      </c>
      <c r="N47" s="71" t="str">
        <f>IF(AND(Riesgos!$AB$20="Muy Baja",Riesgos!$AD$20="Leve"),CONCATENATE("R2C",Riesgos!$R$20),"")</f>
        <v/>
      </c>
      <c r="O47" s="72" t="str">
        <f>IF(AND(Riesgos!$AB$21="Muy Baja",Riesgos!$AD$21="Leve"),CONCATENATE("R2C",Riesgos!$R$21),"")</f>
        <v/>
      </c>
      <c r="P47" s="70" t="str">
        <f>IF(AND(Riesgos!$AB$16="Muy Baja",Riesgos!$AD$16="Menor"),CONCATENATE("R2C",Riesgos!$R$16),"")</f>
        <v/>
      </c>
      <c r="Q47" s="71" t="str">
        <f>IF(AND(Riesgos!$AB$17="Muy Baja",Riesgos!$AD$17="Menor"),CONCATENATE("R2C",Riesgos!$R$17),"")</f>
        <v/>
      </c>
      <c r="R47" s="71" t="str">
        <f>IF(AND(Riesgos!$AB$18="Muy Baja",Riesgos!$AD$18="Menor"),CONCATENATE("R2C",Riesgos!$R$18),"")</f>
        <v/>
      </c>
      <c r="S47" s="71" t="str">
        <f>IF(AND(Riesgos!$AB$19="Muy Baja",Riesgos!$AD$19="Menor"),CONCATENATE("R2C",Riesgos!$R$19),"")</f>
        <v/>
      </c>
      <c r="T47" s="71" t="str">
        <f>IF(AND(Riesgos!$AB$20="Muy Baja",Riesgos!$AD$20="Menor"),CONCATENATE("R2C",Riesgos!$R$20),"")</f>
        <v/>
      </c>
      <c r="U47" s="72" t="str">
        <f>IF(AND(Riesgos!$AB$21="Muy Baja",Riesgos!$AD$21="Menor"),CONCATENATE("R2C",Riesgos!$R$21),"")</f>
        <v/>
      </c>
      <c r="V47" s="61" t="str">
        <f>IF(AND(Riesgos!$AB$16="Muy Baja",Riesgos!$AD$16="Moderado"),CONCATENATE("R2C",Riesgos!$R$16),"")</f>
        <v/>
      </c>
      <c r="W47" s="62" t="str">
        <f>IF(AND(Riesgos!$AB$17="Muy Baja",Riesgos!$AD$17="Moderado"),CONCATENATE("R2C",Riesgos!$R$17),"")</f>
        <v/>
      </c>
      <c r="X47" s="62" t="str">
        <f>IF(AND(Riesgos!$AB$18="Muy Baja",Riesgos!$AD$18="Moderado"),CONCATENATE("R2C",Riesgos!$R$18),"")</f>
        <v/>
      </c>
      <c r="Y47" s="62" t="str">
        <f>IF(AND(Riesgos!$AB$19="Muy Baja",Riesgos!$AD$19="Moderado"),CONCATENATE("R2C",Riesgos!$R$19),"")</f>
        <v/>
      </c>
      <c r="Z47" s="62" t="str">
        <f>IF(AND(Riesgos!$AB$20="Muy Baja",Riesgos!$AD$20="Moderado"),CONCATENATE("R2C",Riesgos!$R$20),"")</f>
        <v/>
      </c>
      <c r="AA47" s="63" t="str">
        <f>IF(AND(Riesgos!$AB$21="Muy Baja",Riesgos!$AD$21="Moderado"),CONCATENATE("R2C",Riesgos!$R$21),"")</f>
        <v/>
      </c>
      <c r="AB47" s="46" t="str">
        <f>IF(AND(Riesgos!$AB$16="Muy Baja",Riesgos!$AD$16="Mayor"),CONCATENATE("R2C",Riesgos!$R$16),"")</f>
        <v>R2C1</v>
      </c>
      <c r="AC47" s="47" t="str">
        <f>IF(AND(Riesgos!$AB$17="Muy Baja",Riesgos!$AD$17="Mayor"),CONCATENATE("R2C",Riesgos!$R$17),"")</f>
        <v>R2C2</v>
      </c>
      <c r="AD47" s="47" t="str">
        <f>IF(AND(Riesgos!$AB$18="Muy Baja",Riesgos!$AD$18="Mayor"),CONCATENATE("R2C",Riesgos!$R$18),"")</f>
        <v/>
      </c>
      <c r="AE47" s="47" t="str">
        <f>IF(AND(Riesgos!$AB$19="Muy Baja",Riesgos!$AD$19="Mayor"),CONCATENATE("R2C",Riesgos!$R$19),"")</f>
        <v/>
      </c>
      <c r="AF47" s="47" t="str">
        <f>IF(AND(Riesgos!$AB$20="Muy Baja",Riesgos!$AD$20="Mayor"),CONCATENATE("R2C",Riesgos!$R$20),"")</f>
        <v/>
      </c>
      <c r="AG47" s="48" t="str">
        <f>IF(AND(Riesgos!$AB$21="Muy Baja",Riesgos!$AD$21="Mayor"),CONCATENATE("R2C",Riesgos!$R$21),"")</f>
        <v/>
      </c>
      <c r="AH47" s="49" t="str">
        <f>IF(AND(Riesgos!$AB$16="Muy Baja",Riesgos!$AD$16="Catastrófico"),CONCATENATE("R2C",Riesgos!$R$16),"")</f>
        <v/>
      </c>
      <c r="AI47" s="50" t="str">
        <f>IF(AND(Riesgos!$AB$17="Muy Baja",Riesgos!$AD$17="Catastrófico"),CONCATENATE("R2C",Riesgos!$R$17),"")</f>
        <v/>
      </c>
      <c r="AJ47" s="50" t="str">
        <f>IF(AND(Riesgos!$AB$18="Muy Baja",Riesgos!$AD$18="Catastrófico"),CONCATENATE("R2C",Riesgos!$R$18),"")</f>
        <v/>
      </c>
      <c r="AK47" s="50" t="str">
        <f>IF(AND(Riesgos!$AB$19="Muy Baja",Riesgos!$AD$19="Catastrófico"),CONCATENATE("R2C",Riesgos!$R$19),"")</f>
        <v/>
      </c>
      <c r="AL47" s="50" t="str">
        <f>IF(AND(Riesgos!$AB$20="Muy Baja",Riesgos!$AD$20="Catastrófico"),CONCATENATE("R2C",Riesgos!$R$20),"")</f>
        <v/>
      </c>
      <c r="AM47" s="51" t="str">
        <f>IF(AND(Riesgos!$AB$21="Muy Baja",Riesgos!$AD$21="Catastrófico"),CONCATENATE("R2C",Riesgos!$R$21),"")</f>
        <v/>
      </c>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77"/>
      <c r="BS47" s="77"/>
      <c r="BT47" s="77"/>
      <c r="BU47" s="77"/>
      <c r="BV47" s="77"/>
      <c r="BW47" s="77"/>
      <c r="BX47" s="77"/>
      <c r="BY47" s="77"/>
      <c r="BZ47" s="77"/>
      <c r="CA47" s="77"/>
      <c r="CB47" s="77"/>
    </row>
    <row r="48" spans="1:80" ht="15" customHeight="1" x14ac:dyDescent="0.25">
      <c r="A48" s="77"/>
      <c r="B48" s="390"/>
      <c r="C48" s="390"/>
      <c r="D48" s="391"/>
      <c r="E48" s="447"/>
      <c r="F48" s="432"/>
      <c r="G48" s="432"/>
      <c r="H48" s="432"/>
      <c r="I48" s="433"/>
      <c r="J48" s="70" t="e">
        <f>IF(AND(Riesgos!#REF!="Muy Baja",Riesgos!#REF!="Leve"),CONCATENATE("R3C",Riesgos!#REF!),"")</f>
        <v>#REF!</v>
      </c>
      <c r="K48" s="71" t="e">
        <f>IF(AND(Riesgos!#REF!="Muy Baja",Riesgos!#REF!="Leve"),CONCATENATE("R3C",Riesgos!#REF!),"")</f>
        <v>#REF!</v>
      </c>
      <c r="L48" s="71" t="e">
        <f>IF(AND(Riesgos!#REF!="Muy Baja",Riesgos!#REF!="Leve"),CONCATENATE("R3C",Riesgos!#REF!),"")</f>
        <v>#REF!</v>
      </c>
      <c r="M48" s="71" t="e">
        <f>IF(AND(Riesgos!#REF!="Muy Baja",Riesgos!#REF!="Leve"),CONCATENATE("R3C",Riesgos!#REF!),"")</f>
        <v>#REF!</v>
      </c>
      <c r="N48" s="71" t="e">
        <f>IF(AND(Riesgos!#REF!="Muy Baja",Riesgos!#REF!="Leve"),CONCATENATE("R3C",Riesgos!#REF!),"")</f>
        <v>#REF!</v>
      </c>
      <c r="O48" s="72" t="e">
        <f>IF(AND(Riesgos!#REF!="Muy Baja",Riesgos!#REF!="Leve"),CONCATENATE("R3C",Riesgos!#REF!),"")</f>
        <v>#REF!</v>
      </c>
      <c r="P48" s="70" t="e">
        <f>IF(AND(Riesgos!#REF!="Muy Baja",Riesgos!#REF!="Menor"),CONCATENATE("R3C",Riesgos!#REF!),"")</f>
        <v>#REF!</v>
      </c>
      <c r="Q48" s="71" t="e">
        <f>IF(AND(Riesgos!#REF!="Muy Baja",Riesgos!#REF!="Menor"),CONCATENATE("R3C",Riesgos!#REF!),"")</f>
        <v>#REF!</v>
      </c>
      <c r="R48" s="71" t="e">
        <f>IF(AND(Riesgos!#REF!="Muy Baja",Riesgos!#REF!="Menor"),CONCATENATE("R3C",Riesgos!#REF!),"")</f>
        <v>#REF!</v>
      </c>
      <c r="S48" s="71" t="e">
        <f>IF(AND(Riesgos!#REF!="Muy Baja",Riesgos!#REF!="Menor"),CONCATENATE("R3C",Riesgos!#REF!),"")</f>
        <v>#REF!</v>
      </c>
      <c r="T48" s="71" t="e">
        <f>IF(AND(Riesgos!#REF!="Muy Baja",Riesgos!#REF!="Menor"),CONCATENATE("R3C",Riesgos!#REF!),"")</f>
        <v>#REF!</v>
      </c>
      <c r="U48" s="72" t="e">
        <f>IF(AND(Riesgos!#REF!="Muy Baja",Riesgos!#REF!="Menor"),CONCATENATE("R3C",Riesgos!#REF!),"")</f>
        <v>#REF!</v>
      </c>
      <c r="V48" s="61" t="e">
        <f>IF(AND(Riesgos!#REF!="Muy Baja",Riesgos!#REF!="Moderado"),CONCATENATE("R3C",Riesgos!#REF!),"")</f>
        <v>#REF!</v>
      </c>
      <c r="W48" s="62" t="e">
        <f>IF(AND(Riesgos!#REF!="Muy Baja",Riesgos!#REF!="Moderado"),CONCATENATE("R3C",Riesgos!#REF!),"")</f>
        <v>#REF!</v>
      </c>
      <c r="X48" s="62" t="e">
        <f>IF(AND(Riesgos!#REF!="Muy Baja",Riesgos!#REF!="Moderado"),CONCATENATE("R3C",Riesgos!#REF!),"")</f>
        <v>#REF!</v>
      </c>
      <c r="Y48" s="62" t="e">
        <f>IF(AND(Riesgos!#REF!="Muy Baja",Riesgos!#REF!="Moderado"),CONCATENATE("R3C",Riesgos!#REF!),"")</f>
        <v>#REF!</v>
      </c>
      <c r="Z48" s="62" t="e">
        <f>IF(AND(Riesgos!#REF!="Muy Baja",Riesgos!#REF!="Moderado"),CONCATENATE("R3C",Riesgos!#REF!),"")</f>
        <v>#REF!</v>
      </c>
      <c r="AA48" s="63" t="e">
        <f>IF(AND(Riesgos!#REF!="Muy Baja",Riesgos!#REF!="Moderado"),CONCATENATE("R3C",Riesgos!#REF!),"")</f>
        <v>#REF!</v>
      </c>
      <c r="AB48" s="46" t="e">
        <f>IF(AND(Riesgos!#REF!="Muy Baja",Riesgos!#REF!="Mayor"),CONCATENATE("R3C",Riesgos!#REF!),"")</f>
        <v>#REF!</v>
      </c>
      <c r="AC48" s="47" t="e">
        <f>IF(AND(Riesgos!#REF!="Muy Baja",Riesgos!#REF!="Mayor"),CONCATENATE("R3C",Riesgos!#REF!),"")</f>
        <v>#REF!</v>
      </c>
      <c r="AD48" s="47" t="e">
        <f>IF(AND(Riesgos!#REF!="Muy Baja",Riesgos!#REF!="Mayor"),CONCATENATE("R3C",Riesgos!#REF!),"")</f>
        <v>#REF!</v>
      </c>
      <c r="AE48" s="47" t="e">
        <f>IF(AND(Riesgos!#REF!="Muy Baja",Riesgos!#REF!="Mayor"),CONCATENATE("R3C",Riesgos!#REF!),"")</f>
        <v>#REF!</v>
      </c>
      <c r="AF48" s="47" t="e">
        <f>IF(AND(Riesgos!#REF!="Muy Baja",Riesgos!#REF!="Mayor"),CONCATENATE("R3C",Riesgos!#REF!),"")</f>
        <v>#REF!</v>
      </c>
      <c r="AG48" s="48" t="e">
        <f>IF(AND(Riesgos!#REF!="Muy Baja",Riesgos!#REF!="Mayor"),CONCATENATE("R3C",Riesgos!#REF!),"")</f>
        <v>#REF!</v>
      </c>
      <c r="AH48" s="49" t="e">
        <f>IF(AND(Riesgos!#REF!="Muy Baja",Riesgos!#REF!="Catastrófico"),CONCATENATE("R3C",Riesgos!#REF!),"")</f>
        <v>#REF!</v>
      </c>
      <c r="AI48" s="50" t="e">
        <f>IF(AND(Riesgos!#REF!="Muy Baja",Riesgos!#REF!="Catastrófico"),CONCATENATE("R3C",Riesgos!#REF!),"")</f>
        <v>#REF!</v>
      </c>
      <c r="AJ48" s="50" t="e">
        <f>IF(AND(Riesgos!#REF!="Muy Baja",Riesgos!#REF!="Catastrófico"),CONCATENATE("R3C",Riesgos!#REF!),"")</f>
        <v>#REF!</v>
      </c>
      <c r="AK48" s="50" t="e">
        <f>IF(AND(Riesgos!#REF!="Muy Baja",Riesgos!#REF!="Catastrófico"),CONCATENATE("R3C",Riesgos!#REF!),"")</f>
        <v>#REF!</v>
      </c>
      <c r="AL48" s="50" t="e">
        <f>IF(AND(Riesgos!#REF!="Muy Baja",Riesgos!#REF!="Catastrófico"),CONCATENATE("R3C",Riesgos!#REF!),"")</f>
        <v>#REF!</v>
      </c>
      <c r="AM48" s="51" t="e">
        <f>IF(AND(Riesgos!#REF!="Muy Baja",Riesgos!#REF!="Catastrófico"),CONCATENATE("R3C",Riesgos!#REF!),"")</f>
        <v>#REF!</v>
      </c>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77"/>
      <c r="BT48" s="77"/>
      <c r="BU48" s="77"/>
      <c r="BV48" s="77"/>
      <c r="BW48" s="77"/>
      <c r="BX48" s="77"/>
      <c r="BY48" s="77"/>
      <c r="BZ48" s="77"/>
      <c r="CA48" s="77"/>
      <c r="CB48" s="77"/>
    </row>
    <row r="49" spans="1:80" ht="15" customHeight="1" x14ac:dyDescent="0.25">
      <c r="A49" s="77"/>
      <c r="B49" s="390"/>
      <c r="C49" s="390"/>
      <c r="D49" s="391"/>
      <c r="E49" s="431"/>
      <c r="F49" s="432"/>
      <c r="G49" s="432"/>
      <c r="H49" s="432"/>
      <c r="I49" s="433"/>
      <c r="J49" s="70" t="str">
        <f>IF(AND(Riesgos!$AB$22="Muy Baja",Riesgos!$AD$22="Leve"),CONCATENATE("R4C",Riesgos!$R$22),"")</f>
        <v/>
      </c>
      <c r="K49" s="71" t="str">
        <f>IF(AND(Riesgos!$AB$23="Muy Baja",Riesgos!$AD$23="Leve"),CONCATENATE("R4C",Riesgos!$R$23),"")</f>
        <v/>
      </c>
      <c r="L49" s="71" t="str">
        <f>IF(AND(Riesgos!$AB$24="Muy Baja",Riesgos!$AD$24="Leve"),CONCATENATE("R4C",Riesgos!$R$24),"")</f>
        <v/>
      </c>
      <c r="M49" s="71" t="str">
        <f>IF(AND(Riesgos!$AB$25="Muy Baja",Riesgos!$AD$25="Leve"),CONCATENATE("R4C",Riesgos!$R$25),"")</f>
        <v/>
      </c>
      <c r="N49" s="71" t="str">
        <f>IF(AND(Riesgos!$AB$26="Muy Baja",Riesgos!$AD$26="Leve"),CONCATENATE("R4C",Riesgos!$R$26),"")</f>
        <v/>
      </c>
      <c r="O49" s="72" t="str">
        <f>IF(AND(Riesgos!$AB$27="Muy Baja",Riesgos!$AD$27="Leve"),CONCATENATE("R4C",Riesgos!$R$27),"")</f>
        <v/>
      </c>
      <c r="P49" s="70" t="str">
        <f>IF(AND(Riesgos!$AB$22="Muy Baja",Riesgos!$AD$22="Menor"),CONCATENATE("R4C",Riesgos!$R$22),"")</f>
        <v/>
      </c>
      <c r="Q49" s="71" t="str">
        <f>IF(AND(Riesgos!$AB$23="Muy Baja",Riesgos!$AD$23="Menor"),CONCATENATE("R4C",Riesgos!$R$23),"")</f>
        <v/>
      </c>
      <c r="R49" s="71" t="str">
        <f>IF(AND(Riesgos!$AB$24="Muy Baja",Riesgos!$AD$24="Menor"),CONCATENATE("R4C",Riesgos!$R$24),"")</f>
        <v/>
      </c>
      <c r="S49" s="71" t="str">
        <f>IF(AND(Riesgos!$AB$25="Muy Baja",Riesgos!$AD$25="Menor"),CONCATENATE("R4C",Riesgos!$R$25),"")</f>
        <v/>
      </c>
      <c r="T49" s="71" t="str">
        <f>IF(AND(Riesgos!$AB$26="Muy Baja",Riesgos!$AD$26="Menor"),CONCATENATE("R4C",Riesgos!$R$26),"")</f>
        <v/>
      </c>
      <c r="U49" s="72" t="str">
        <f>IF(AND(Riesgos!$AB$27="Muy Baja",Riesgos!$AD$27="Menor"),CONCATENATE("R4C",Riesgos!$R$27),"")</f>
        <v/>
      </c>
      <c r="V49" s="61" t="str">
        <f>IF(AND(Riesgos!$AB$22="Muy Baja",Riesgos!$AD$22="Moderado"),CONCATENATE("R4C",Riesgos!$R$22),"")</f>
        <v/>
      </c>
      <c r="W49" s="62" t="str">
        <f>IF(AND(Riesgos!$AB$23="Muy Baja",Riesgos!$AD$23="Moderado"),CONCATENATE("R4C",Riesgos!$R$23),"")</f>
        <v/>
      </c>
      <c r="X49" s="62" t="str">
        <f>IF(AND(Riesgos!$AB$24="Muy Baja",Riesgos!$AD$24="Moderado"),CONCATENATE("R4C",Riesgos!$R$24),"")</f>
        <v/>
      </c>
      <c r="Y49" s="62" t="str">
        <f>IF(AND(Riesgos!$AB$25="Muy Baja",Riesgos!$AD$25="Moderado"),CONCATENATE("R4C",Riesgos!$R$25),"")</f>
        <v/>
      </c>
      <c r="Z49" s="62" t="str">
        <f>IF(AND(Riesgos!$AB$26="Muy Baja",Riesgos!$AD$26="Moderado"),CONCATENATE("R4C",Riesgos!$R$26),"")</f>
        <v/>
      </c>
      <c r="AA49" s="63" t="str">
        <f>IF(AND(Riesgos!$AB$27="Muy Baja",Riesgos!$AD$27="Moderado"),CONCATENATE("R4C",Riesgos!$R$27),"")</f>
        <v/>
      </c>
      <c r="AB49" s="46" t="str">
        <f>IF(AND(Riesgos!$AB$22="Muy Baja",Riesgos!$AD$22="Mayor"),CONCATENATE("R4C",Riesgos!$R$22),"")</f>
        <v/>
      </c>
      <c r="AC49" s="47" t="str">
        <f>IF(AND(Riesgos!$AB$23="Muy Baja",Riesgos!$AD$23="Mayor"),CONCATENATE("R4C",Riesgos!$R$23),"")</f>
        <v/>
      </c>
      <c r="AD49" s="47" t="str">
        <f>IF(AND(Riesgos!$AB$24="Muy Baja",Riesgos!$AD$24="Mayor"),CONCATENATE("R4C",Riesgos!$R$24),"")</f>
        <v/>
      </c>
      <c r="AE49" s="47" t="str">
        <f>IF(AND(Riesgos!$AB$25="Muy Baja",Riesgos!$AD$25="Mayor"),CONCATENATE("R4C",Riesgos!$R$25),"")</f>
        <v/>
      </c>
      <c r="AF49" s="47" t="str">
        <f>IF(AND(Riesgos!$AB$26="Muy Baja",Riesgos!$AD$26="Mayor"),CONCATENATE("R4C",Riesgos!$R$26),"")</f>
        <v/>
      </c>
      <c r="AG49" s="48" t="str">
        <f>IF(AND(Riesgos!$AB$27="Muy Baja",Riesgos!$AD$27="Mayor"),CONCATENATE("R4C",Riesgos!$R$27),"")</f>
        <v/>
      </c>
      <c r="AH49" s="49" t="str">
        <f>IF(AND(Riesgos!$AB$22="Muy Baja",Riesgos!$AD$22="Catastrófico"),CONCATENATE("R4C",Riesgos!$R$22),"")</f>
        <v/>
      </c>
      <c r="AI49" s="50" t="str">
        <f>IF(AND(Riesgos!$AB$23="Muy Baja",Riesgos!$AD$23="Catastrófico"),CONCATENATE("R4C",Riesgos!$R$23),"")</f>
        <v/>
      </c>
      <c r="AJ49" s="50" t="str">
        <f>IF(AND(Riesgos!$AB$24="Muy Baja",Riesgos!$AD$24="Catastrófico"),CONCATENATE("R4C",Riesgos!$R$24),"")</f>
        <v/>
      </c>
      <c r="AK49" s="50" t="str">
        <f>IF(AND(Riesgos!$AB$25="Muy Baja",Riesgos!$AD$25="Catastrófico"),CONCATENATE("R4C",Riesgos!$R$25),"")</f>
        <v/>
      </c>
      <c r="AL49" s="50" t="str">
        <f>IF(AND(Riesgos!$AB$26="Muy Baja",Riesgos!$AD$26="Catastrófico"),CONCATENATE("R4C",Riesgos!$R$26),"")</f>
        <v/>
      </c>
      <c r="AM49" s="51" t="str">
        <f>IF(AND(Riesgos!$AB$27="Muy Baja",Riesgos!$AD$27="Catastrófico"),CONCATENATE("R4C",Riesgos!$R$27),"")</f>
        <v/>
      </c>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c r="BZ49" s="77"/>
      <c r="CA49" s="77"/>
      <c r="CB49" s="77"/>
    </row>
    <row r="50" spans="1:80" ht="15" customHeight="1" x14ac:dyDescent="0.25">
      <c r="A50" s="77"/>
      <c r="B50" s="390"/>
      <c r="C50" s="390"/>
      <c r="D50" s="391"/>
      <c r="E50" s="431"/>
      <c r="F50" s="432"/>
      <c r="G50" s="432"/>
      <c r="H50" s="432"/>
      <c r="I50" s="433"/>
      <c r="J50" s="70" t="str">
        <f>IF(AND(Riesgos!$AB$28="Muy Baja",Riesgos!$AD$28="Leve"),CONCATENATE("R5C",Riesgos!$R$28),"")</f>
        <v/>
      </c>
      <c r="K50" s="71" t="str">
        <f>IF(AND(Riesgos!$AB$29="Muy Baja",Riesgos!$AD$29="Leve"),CONCATENATE("R5C",Riesgos!$R$29),"")</f>
        <v/>
      </c>
      <c r="L50" s="71" t="str">
        <f>IF(AND(Riesgos!$AB$30="Muy Baja",Riesgos!$AD$30="Leve"),CONCATENATE("R5C",Riesgos!$R$30),"")</f>
        <v/>
      </c>
      <c r="M50" s="71" t="str">
        <f>IF(AND(Riesgos!$AB$31="Muy Baja",Riesgos!$AD$31="Leve"),CONCATENATE("R5C",Riesgos!$R$31),"")</f>
        <v/>
      </c>
      <c r="N50" s="71" t="str">
        <f>IF(AND(Riesgos!$AB$32="Muy Baja",Riesgos!$AD$32="Leve"),CONCATENATE("R5C",Riesgos!$R$32),"")</f>
        <v/>
      </c>
      <c r="O50" s="72" t="str">
        <f>IF(AND(Riesgos!$AB$33="Muy Baja",Riesgos!$AD$33="Leve"),CONCATENATE("R5C",Riesgos!$R$33),"")</f>
        <v/>
      </c>
      <c r="P50" s="70" t="str">
        <f>IF(AND(Riesgos!$AB$28="Muy Baja",Riesgos!$AD$28="Menor"),CONCATENATE("R5C",Riesgos!$R$28),"")</f>
        <v/>
      </c>
      <c r="Q50" s="71" t="str">
        <f>IF(AND(Riesgos!$AB$29="Muy Baja",Riesgos!$AD$29="Menor"),CONCATENATE("R5C",Riesgos!$R$29),"")</f>
        <v/>
      </c>
      <c r="R50" s="71" t="str">
        <f>IF(AND(Riesgos!$AB$30="Muy Baja",Riesgos!$AD$30="Menor"),CONCATENATE("R5C",Riesgos!$R$30),"")</f>
        <v/>
      </c>
      <c r="S50" s="71" t="str">
        <f>IF(AND(Riesgos!$AB$31="Muy Baja",Riesgos!$AD$31="Menor"),CONCATENATE("R5C",Riesgos!$R$31),"")</f>
        <v/>
      </c>
      <c r="T50" s="71" t="str">
        <f>IF(AND(Riesgos!$AB$32="Muy Baja",Riesgos!$AD$32="Menor"),CONCATENATE("R5C",Riesgos!$R$32),"")</f>
        <v/>
      </c>
      <c r="U50" s="72" t="str">
        <f>IF(AND(Riesgos!$AB$33="Muy Baja",Riesgos!$AD$33="Menor"),CONCATENATE("R5C",Riesgos!$R$33),"")</f>
        <v/>
      </c>
      <c r="V50" s="61" t="str">
        <f>IF(AND(Riesgos!$AB$28="Muy Baja",Riesgos!$AD$28="Moderado"),CONCATENATE("R5C",Riesgos!$R$28),"")</f>
        <v/>
      </c>
      <c r="W50" s="62" t="str">
        <f>IF(AND(Riesgos!$AB$29="Muy Baja",Riesgos!$AD$29="Moderado"),CONCATENATE("R5C",Riesgos!$R$29),"")</f>
        <v/>
      </c>
      <c r="X50" s="62" t="str">
        <f>IF(AND(Riesgos!$AB$30="Muy Baja",Riesgos!$AD$30="Moderado"),CONCATENATE("R5C",Riesgos!$R$30),"")</f>
        <v/>
      </c>
      <c r="Y50" s="62" t="str">
        <f>IF(AND(Riesgos!$AB$31="Muy Baja",Riesgos!$AD$31="Moderado"),CONCATENATE("R5C",Riesgos!$R$31),"")</f>
        <v/>
      </c>
      <c r="Z50" s="62" t="str">
        <f>IF(AND(Riesgos!$AB$32="Muy Baja",Riesgos!$AD$32="Moderado"),CONCATENATE("R5C",Riesgos!$R$32),"")</f>
        <v/>
      </c>
      <c r="AA50" s="63" t="str">
        <f>IF(AND(Riesgos!$AB$33="Muy Baja",Riesgos!$AD$33="Moderado"),CONCATENATE("R5C",Riesgos!$R$33),"")</f>
        <v/>
      </c>
      <c r="AB50" s="46" t="str">
        <f>IF(AND(Riesgos!$AB$28="Muy Baja",Riesgos!$AD$28="Mayor"),CONCATENATE("R5C",Riesgos!$R$28),"")</f>
        <v/>
      </c>
      <c r="AC50" s="47" t="str">
        <f>IF(AND(Riesgos!$AB$29="Muy Baja",Riesgos!$AD$29="Mayor"),CONCATENATE("R5C",Riesgos!$R$29),"")</f>
        <v/>
      </c>
      <c r="AD50" s="47" t="str">
        <f>IF(AND(Riesgos!$AB$30="Muy Baja",Riesgos!$AD$30="Mayor"),CONCATENATE("R5C",Riesgos!$R$30),"")</f>
        <v/>
      </c>
      <c r="AE50" s="47" t="str">
        <f>IF(AND(Riesgos!$AB$31="Muy Baja",Riesgos!$AD$31="Mayor"),CONCATENATE("R5C",Riesgos!$R$31),"")</f>
        <v/>
      </c>
      <c r="AF50" s="47" t="str">
        <f>IF(AND(Riesgos!$AB$32="Muy Baja",Riesgos!$AD$32="Mayor"),CONCATENATE("R5C",Riesgos!$R$32),"")</f>
        <v/>
      </c>
      <c r="AG50" s="48" t="str">
        <f>IF(AND(Riesgos!$AB$33="Muy Baja",Riesgos!$AD$33="Mayor"),CONCATENATE("R5C",Riesgos!$R$33),"")</f>
        <v/>
      </c>
      <c r="AH50" s="49" t="str">
        <f>IF(AND(Riesgos!$AB$28="Muy Baja",Riesgos!$AD$28="Catastrófico"),CONCATENATE("R5C",Riesgos!$R$28),"")</f>
        <v/>
      </c>
      <c r="AI50" s="50" t="str">
        <f>IF(AND(Riesgos!$AB$29="Muy Baja",Riesgos!$AD$29="Catastrófico"),CONCATENATE("R5C",Riesgos!$R$29),"")</f>
        <v/>
      </c>
      <c r="AJ50" s="50" t="str">
        <f>IF(AND(Riesgos!$AB$30="Muy Baja",Riesgos!$AD$30="Catastrófico"),CONCATENATE("R5C",Riesgos!$R$30),"")</f>
        <v/>
      </c>
      <c r="AK50" s="50" t="str">
        <f>IF(AND(Riesgos!$AB$31="Muy Baja",Riesgos!$AD$31="Catastrófico"),CONCATENATE("R5C",Riesgos!$R$31),"")</f>
        <v/>
      </c>
      <c r="AL50" s="50" t="str">
        <f>IF(AND(Riesgos!$AB$32="Muy Baja",Riesgos!$AD$32="Catastrófico"),CONCATENATE("R5C",Riesgos!$R$32),"")</f>
        <v/>
      </c>
      <c r="AM50" s="51" t="str">
        <f>IF(AND(Riesgos!$AB$33="Muy Baja",Riesgos!$AD$33="Catastrófico"),CONCATENATE("R5C",Riesgos!$R$33),"")</f>
        <v/>
      </c>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c r="BV50" s="77"/>
      <c r="BW50" s="77"/>
      <c r="BX50" s="77"/>
      <c r="BY50" s="77"/>
      <c r="BZ50" s="77"/>
      <c r="CA50" s="77"/>
      <c r="CB50" s="77"/>
    </row>
    <row r="51" spans="1:80" ht="15" customHeight="1" x14ac:dyDescent="0.25">
      <c r="A51" s="77"/>
      <c r="B51" s="390"/>
      <c r="C51" s="390"/>
      <c r="D51" s="391"/>
      <c r="E51" s="431"/>
      <c r="F51" s="432"/>
      <c r="G51" s="432"/>
      <c r="H51" s="432"/>
      <c r="I51" s="433"/>
      <c r="J51" s="70" t="str">
        <f>IF(AND(Riesgos!$AB$34="Muy Baja",Riesgos!$AD$34="Leve"),CONCATENATE("R6C",Riesgos!$R$34),"")</f>
        <v/>
      </c>
      <c r="K51" s="71" t="str">
        <f>IF(AND(Riesgos!$AB$35="Muy Baja",Riesgos!$AD$35="Leve"),CONCATENATE("R6C",Riesgos!$R$35),"")</f>
        <v/>
      </c>
      <c r="L51" s="71" t="str">
        <f>IF(AND(Riesgos!$AB$36="Muy Baja",Riesgos!$AD$36="Leve"),CONCATENATE("R6C",Riesgos!$R$36),"")</f>
        <v/>
      </c>
      <c r="M51" s="71" t="str">
        <f>IF(AND(Riesgos!$AB$37="Muy Baja",Riesgos!$AD$37="Leve"),CONCATENATE("R6C",Riesgos!$R$37),"")</f>
        <v/>
      </c>
      <c r="N51" s="71" t="str">
        <f>IF(AND(Riesgos!$AB$38="Muy Baja",Riesgos!$AD$38="Leve"),CONCATENATE("R6C",Riesgos!$R$38),"")</f>
        <v/>
      </c>
      <c r="O51" s="72" t="str">
        <f>IF(AND(Riesgos!$AB$39="Muy Baja",Riesgos!$AD$39="Leve"),CONCATENATE("R6C",Riesgos!$R$39),"")</f>
        <v/>
      </c>
      <c r="P51" s="70" t="str">
        <f>IF(AND(Riesgos!$AB$34="Muy Baja",Riesgos!$AD$34="Menor"),CONCATENATE("R6C",Riesgos!$R$34),"")</f>
        <v/>
      </c>
      <c r="Q51" s="71" t="str">
        <f>IF(AND(Riesgos!$AB$35="Muy Baja",Riesgos!$AD$35="Menor"),CONCATENATE("R6C",Riesgos!$R$35),"")</f>
        <v/>
      </c>
      <c r="R51" s="71" t="str">
        <f>IF(AND(Riesgos!$AB$36="Muy Baja",Riesgos!$AD$36="Menor"),CONCATENATE("R6C",Riesgos!$R$36),"")</f>
        <v/>
      </c>
      <c r="S51" s="71" t="str">
        <f>IF(AND(Riesgos!$AB$37="Muy Baja",Riesgos!$AD$37="Menor"),CONCATENATE("R6C",Riesgos!$R$37),"")</f>
        <v/>
      </c>
      <c r="T51" s="71" t="str">
        <f>IF(AND(Riesgos!$AB$38="Muy Baja",Riesgos!$AD$38="Menor"),CONCATENATE("R6C",Riesgos!$R$38),"")</f>
        <v/>
      </c>
      <c r="U51" s="72" t="str">
        <f>IF(AND(Riesgos!$AB$39="Muy Baja",Riesgos!$AD$39="Menor"),CONCATENATE("R6C",Riesgos!$R$39),"")</f>
        <v/>
      </c>
      <c r="V51" s="61" t="str">
        <f>IF(AND(Riesgos!$AB$34="Muy Baja",Riesgos!$AD$34="Moderado"),CONCATENATE("R6C",Riesgos!$R$34),"")</f>
        <v/>
      </c>
      <c r="W51" s="62" t="str">
        <f>IF(AND(Riesgos!$AB$35="Muy Baja",Riesgos!$AD$35="Moderado"),CONCATENATE("R6C",Riesgos!$R$35),"")</f>
        <v/>
      </c>
      <c r="X51" s="62" t="str">
        <f>IF(AND(Riesgos!$AB$36="Muy Baja",Riesgos!$AD$36="Moderado"),CONCATENATE("R6C",Riesgos!$R$36),"")</f>
        <v/>
      </c>
      <c r="Y51" s="62" t="str">
        <f>IF(AND(Riesgos!$AB$37="Muy Baja",Riesgos!$AD$37="Moderado"),CONCATENATE("R6C",Riesgos!$R$37),"")</f>
        <v/>
      </c>
      <c r="Z51" s="62" t="str">
        <f>IF(AND(Riesgos!$AB$38="Muy Baja",Riesgos!$AD$38="Moderado"),CONCATENATE("R6C",Riesgos!$R$38),"")</f>
        <v/>
      </c>
      <c r="AA51" s="63" t="str">
        <f>IF(AND(Riesgos!$AB$39="Muy Baja",Riesgos!$AD$39="Moderado"),CONCATENATE("R6C",Riesgos!$R$39),"")</f>
        <v/>
      </c>
      <c r="AB51" s="46" t="str">
        <f>IF(AND(Riesgos!$AB$34="Muy Baja",Riesgos!$AD$34="Mayor"),CONCATENATE("R6C",Riesgos!$R$34),"")</f>
        <v/>
      </c>
      <c r="AC51" s="47" t="str">
        <f>IF(AND(Riesgos!$AB$35="Muy Baja",Riesgos!$AD$35="Mayor"),CONCATENATE("R6C",Riesgos!$R$35),"")</f>
        <v/>
      </c>
      <c r="AD51" s="47" t="str">
        <f>IF(AND(Riesgos!$AB$36="Muy Baja",Riesgos!$AD$36="Mayor"),CONCATENATE("R6C",Riesgos!$R$36),"")</f>
        <v/>
      </c>
      <c r="AE51" s="47" t="str">
        <f>IF(AND(Riesgos!$AB$37="Muy Baja",Riesgos!$AD$37="Mayor"),CONCATENATE("R6C",Riesgos!$R$37),"")</f>
        <v/>
      </c>
      <c r="AF51" s="47" t="str">
        <f>IF(AND(Riesgos!$AB$38="Muy Baja",Riesgos!$AD$38="Mayor"),CONCATENATE("R6C",Riesgos!$R$38),"")</f>
        <v/>
      </c>
      <c r="AG51" s="48" t="str">
        <f>IF(AND(Riesgos!$AB$39="Muy Baja",Riesgos!$AD$39="Mayor"),CONCATENATE("R6C",Riesgos!$R$39),"")</f>
        <v/>
      </c>
      <c r="AH51" s="49" t="str">
        <f>IF(AND(Riesgos!$AB$34="Muy Baja",Riesgos!$AD$34="Catastrófico"),CONCATENATE("R6C",Riesgos!$R$34),"")</f>
        <v/>
      </c>
      <c r="AI51" s="50" t="str">
        <f>IF(AND(Riesgos!$AB$35="Muy Baja",Riesgos!$AD$35="Catastrófico"),CONCATENATE("R6C",Riesgos!$R$35),"")</f>
        <v/>
      </c>
      <c r="AJ51" s="50" t="str">
        <f>IF(AND(Riesgos!$AB$36="Muy Baja",Riesgos!$AD$36="Catastrófico"),CONCATENATE("R6C",Riesgos!$R$36),"")</f>
        <v/>
      </c>
      <c r="AK51" s="50" t="str">
        <f>IF(AND(Riesgos!$AB$37="Muy Baja",Riesgos!$AD$37="Catastrófico"),CONCATENATE("R6C",Riesgos!$R$37),"")</f>
        <v/>
      </c>
      <c r="AL51" s="50" t="str">
        <f>IF(AND(Riesgos!$AB$38="Muy Baja",Riesgos!$AD$38="Catastrófico"),CONCATENATE("R6C",Riesgos!$R$38),"")</f>
        <v/>
      </c>
      <c r="AM51" s="51" t="str">
        <f>IF(AND(Riesgos!$AB$39="Muy Baja",Riesgos!$AD$39="Catastrófico"),CONCATENATE("R6C",Riesgos!$R$39),"")</f>
        <v/>
      </c>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7"/>
      <c r="BR51" s="77"/>
      <c r="BS51" s="77"/>
      <c r="BT51" s="77"/>
      <c r="BU51" s="77"/>
      <c r="BV51" s="77"/>
      <c r="BW51" s="77"/>
      <c r="BX51" s="77"/>
      <c r="BY51" s="77"/>
      <c r="BZ51" s="77"/>
      <c r="CA51" s="77"/>
      <c r="CB51" s="77"/>
    </row>
    <row r="52" spans="1:80" ht="15" customHeight="1" x14ac:dyDescent="0.25">
      <c r="A52" s="77"/>
      <c r="B52" s="390"/>
      <c r="C52" s="390"/>
      <c r="D52" s="391"/>
      <c r="E52" s="431"/>
      <c r="F52" s="432"/>
      <c r="G52" s="432"/>
      <c r="H52" s="432"/>
      <c r="I52" s="433"/>
      <c r="J52" s="70" t="str">
        <f>IF(AND(Riesgos!$AB$40="Muy Baja",Riesgos!$AD$40="Leve"),CONCATENATE("R7C",Riesgos!$R$40),"")</f>
        <v/>
      </c>
      <c r="K52" s="71" t="str">
        <f>IF(AND(Riesgos!$AB$41="Muy Baja",Riesgos!$AD$41="Leve"),CONCATENATE("R7C",Riesgos!$R$41),"")</f>
        <v/>
      </c>
      <c r="L52" s="71" t="str">
        <f>IF(AND(Riesgos!$AB$42="Muy Baja",Riesgos!$AD$42="Leve"),CONCATENATE("R7C",Riesgos!$R$42),"")</f>
        <v/>
      </c>
      <c r="M52" s="71" t="str">
        <f>IF(AND(Riesgos!$AB$43="Muy Baja",Riesgos!$AD$43="Leve"),CONCATENATE("R7C",Riesgos!$R$43),"")</f>
        <v/>
      </c>
      <c r="N52" s="71" t="str">
        <f>IF(AND(Riesgos!$AB$44="Muy Baja",Riesgos!$AD$44="Leve"),CONCATENATE("R7C",Riesgos!$R$44),"")</f>
        <v/>
      </c>
      <c r="O52" s="72" t="str">
        <f>IF(AND(Riesgos!$AB$45="Muy Baja",Riesgos!$AD$45="Leve"),CONCATENATE("R7C",Riesgos!$R$45),"")</f>
        <v/>
      </c>
      <c r="P52" s="70" t="str">
        <f>IF(AND(Riesgos!$AB$40="Muy Baja",Riesgos!$AD$40="Menor"),CONCATENATE("R7C",Riesgos!$R$40),"")</f>
        <v/>
      </c>
      <c r="Q52" s="71" t="str">
        <f>IF(AND(Riesgos!$AB$41="Muy Baja",Riesgos!$AD$41="Menor"),CONCATENATE("R7C",Riesgos!$R$41),"")</f>
        <v/>
      </c>
      <c r="R52" s="71" t="str">
        <f>IF(AND(Riesgos!$AB$42="Muy Baja",Riesgos!$AD$42="Menor"),CONCATENATE("R7C",Riesgos!$R$42),"")</f>
        <v/>
      </c>
      <c r="S52" s="71" t="str">
        <f>IF(AND(Riesgos!$AB$43="Muy Baja",Riesgos!$AD$43="Menor"),CONCATENATE("R7C",Riesgos!$R$43),"")</f>
        <v/>
      </c>
      <c r="T52" s="71" t="str">
        <f>IF(AND(Riesgos!$AB$44="Muy Baja",Riesgos!$AD$44="Menor"),CONCATENATE("R7C",Riesgos!$R$44),"")</f>
        <v/>
      </c>
      <c r="U52" s="72" t="str">
        <f>IF(AND(Riesgos!$AB$45="Muy Baja",Riesgos!$AD$45="Menor"),CONCATENATE("R7C",Riesgos!$R$45),"")</f>
        <v/>
      </c>
      <c r="V52" s="61" t="str">
        <f>IF(AND(Riesgos!$AB$40="Muy Baja",Riesgos!$AD$40="Moderado"),CONCATENATE("R7C",Riesgos!$R$40),"")</f>
        <v/>
      </c>
      <c r="W52" s="62" t="str">
        <f>IF(AND(Riesgos!$AB$41="Muy Baja",Riesgos!$AD$41="Moderado"),CONCATENATE("R7C",Riesgos!$R$41),"")</f>
        <v/>
      </c>
      <c r="X52" s="62" t="str">
        <f>IF(AND(Riesgos!$AB$42="Muy Baja",Riesgos!$AD$42="Moderado"),CONCATENATE("R7C",Riesgos!$R$42),"")</f>
        <v/>
      </c>
      <c r="Y52" s="62" t="str">
        <f>IF(AND(Riesgos!$AB$43="Muy Baja",Riesgos!$AD$43="Moderado"),CONCATENATE("R7C",Riesgos!$R$43),"")</f>
        <v/>
      </c>
      <c r="Z52" s="62" t="str">
        <f>IF(AND(Riesgos!$AB$44="Muy Baja",Riesgos!$AD$44="Moderado"),CONCATENATE("R7C",Riesgos!$R$44),"")</f>
        <v/>
      </c>
      <c r="AA52" s="63" t="str">
        <f>IF(AND(Riesgos!$AB$45="Muy Baja",Riesgos!$AD$45="Moderado"),CONCATENATE("R7C",Riesgos!$R$45),"")</f>
        <v>R7C3</v>
      </c>
      <c r="AB52" s="46" t="str">
        <f>IF(AND(Riesgos!$AB$40="Muy Baja",Riesgos!$AD$40="Mayor"),CONCATENATE("R7C",Riesgos!$R$40),"")</f>
        <v/>
      </c>
      <c r="AC52" s="47" t="str">
        <f>IF(AND(Riesgos!$AB$41="Muy Baja",Riesgos!$AD$41="Mayor"),CONCATENATE("R7C",Riesgos!$R$41),"")</f>
        <v/>
      </c>
      <c r="AD52" s="47" t="str">
        <f>IF(AND(Riesgos!$AB$42="Muy Baja",Riesgos!$AD$42="Mayor"),CONCATENATE("R7C",Riesgos!$R$42),"")</f>
        <v/>
      </c>
      <c r="AE52" s="47" t="str">
        <f>IF(AND(Riesgos!$AB$43="Muy Baja",Riesgos!$AD$43="Mayor"),CONCATENATE("R7C",Riesgos!$R$43),"")</f>
        <v/>
      </c>
      <c r="AF52" s="47" t="str">
        <f>IF(AND(Riesgos!$AB$44="Muy Baja",Riesgos!$AD$44="Mayor"),CONCATENATE("R7C",Riesgos!$R$44),"")</f>
        <v/>
      </c>
      <c r="AG52" s="48" t="str">
        <f>IF(AND(Riesgos!$AB$45="Muy Baja",Riesgos!$AD$45="Mayor"),CONCATENATE("R7C",Riesgos!$R$45),"")</f>
        <v/>
      </c>
      <c r="AH52" s="49" t="str">
        <f>IF(AND(Riesgos!$AB$40="Muy Baja",Riesgos!$AD$40="Catastrófico"),CONCATENATE("R7C",Riesgos!$R$40),"")</f>
        <v/>
      </c>
      <c r="AI52" s="50" t="str">
        <f>IF(AND(Riesgos!$AB$41="Muy Baja",Riesgos!$AD$41="Catastrófico"),CONCATENATE("R7C",Riesgos!$R$41),"")</f>
        <v/>
      </c>
      <c r="AJ52" s="50" t="str">
        <f>IF(AND(Riesgos!$AB$42="Muy Baja",Riesgos!$AD$42="Catastrófico"),CONCATENATE("R7C",Riesgos!$R$42),"")</f>
        <v/>
      </c>
      <c r="AK52" s="50" t="str">
        <f>IF(AND(Riesgos!$AB$43="Muy Baja",Riesgos!$AD$43="Catastrófico"),CONCATENATE("R7C",Riesgos!$R$43),"")</f>
        <v/>
      </c>
      <c r="AL52" s="50" t="str">
        <f>IF(AND(Riesgos!$AB$44="Muy Baja",Riesgos!$AD$44="Catastrófico"),CONCATENATE("R7C",Riesgos!$R$44),"")</f>
        <v/>
      </c>
      <c r="AM52" s="51" t="str">
        <f>IF(AND(Riesgos!$AB$45="Muy Baja",Riesgos!$AD$45="Catastrófico"),CONCATENATE("R7C",Riesgos!$R$45),"")</f>
        <v/>
      </c>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7"/>
      <c r="BR52" s="77"/>
      <c r="BS52" s="77"/>
      <c r="BT52" s="77"/>
      <c r="BU52" s="77"/>
      <c r="BV52" s="77"/>
      <c r="BW52" s="77"/>
      <c r="BX52" s="77"/>
      <c r="BY52" s="77"/>
      <c r="BZ52" s="77"/>
      <c r="CA52" s="77"/>
      <c r="CB52" s="77"/>
    </row>
    <row r="53" spans="1:80" ht="15" customHeight="1" x14ac:dyDescent="0.25">
      <c r="A53" s="77"/>
      <c r="B53" s="390"/>
      <c r="C53" s="390"/>
      <c r="D53" s="391"/>
      <c r="E53" s="431"/>
      <c r="F53" s="432"/>
      <c r="G53" s="432"/>
      <c r="H53" s="432"/>
      <c r="I53" s="433"/>
      <c r="J53" s="70" t="str">
        <f>IF(AND(Riesgos!$AB$46="Muy Baja",Riesgos!$AD$46="Leve"),CONCATENATE("R8C",Riesgos!$R$46),"")</f>
        <v/>
      </c>
      <c r="K53" s="71" t="str">
        <f>IF(AND(Riesgos!$AB$47="Muy Baja",Riesgos!$AD$47="Leve"),CONCATENATE("R8C",Riesgos!$R$47),"")</f>
        <v/>
      </c>
      <c r="L53" s="71" t="str">
        <f>IF(AND(Riesgos!$AB$48="Muy Baja",Riesgos!$AD$48="Leve"),CONCATENATE("R8C",Riesgos!$R$48),"")</f>
        <v/>
      </c>
      <c r="M53" s="71" t="str">
        <f>IF(AND(Riesgos!$AB$49="Muy Baja",Riesgos!$AD$49="Leve"),CONCATENATE("R8C",Riesgos!$R$49),"")</f>
        <v/>
      </c>
      <c r="N53" s="71" t="str">
        <f>IF(AND(Riesgos!$AB$50="Muy Baja",Riesgos!$AD$50="Leve"),CONCATENATE("R8C",Riesgos!$R$50),"")</f>
        <v/>
      </c>
      <c r="O53" s="72" t="str">
        <f>IF(AND(Riesgos!$AB$51="Muy Baja",Riesgos!$AD$51="Leve"),CONCATENATE("R8C",Riesgos!$R$51),"")</f>
        <v/>
      </c>
      <c r="P53" s="70" t="str">
        <f>IF(AND(Riesgos!$AB$46="Muy Baja",Riesgos!$AD$46="Menor"),CONCATENATE("R8C",Riesgos!$R$46),"")</f>
        <v/>
      </c>
      <c r="Q53" s="71" t="str">
        <f>IF(AND(Riesgos!$AB$47="Muy Baja",Riesgos!$AD$47="Menor"),CONCATENATE("R8C",Riesgos!$R$47),"")</f>
        <v/>
      </c>
      <c r="R53" s="71" t="str">
        <f>IF(AND(Riesgos!$AB$48="Muy Baja",Riesgos!$AD$48="Menor"),CONCATENATE("R8C",Riesgos!$R$48),"")</f>
        <v/>
      </c>
      <c r="S53" s="71" t="str">
        <f>IF(AND(Riesgos!$AB$49="Muy Baja",Riesgos!$AD$49="Menor"),CONCATENATE("R8C",Riesgos!$R$49),"")</f>
        <v/>
      </c>
      <c r="T53" s="71" t="str">
        <f>IF(AND(Riesgos!$AB$50="Muy Baja",Riesgos!$AD$50="Menor"),CONCATENATE("R8C",Riesgos!$R$50),"")</f>
        <v/>
      </c>
      <c r="U53" s="72" t="str">
        <f>IF(AND(Riesgos!$AB$51="Muy Baja",Riesgos!$AD$51="Menor"),CONCATENATE("R8C",Riesgos!$R$51),"")</f>
        <v/>
      </c>
      <c r="V53" s="61" t="str">
        <f>IF(AND(Riesgos!$AB$46="Muy Baja",Riesgos!$AD$46="Moderado"),CONCATENATE("R8C",Riesgos!$R$46),"")</f>
        <v/>
      </c>
      <c r="W53" s="62" t="str">
        <f>IF(AND(Riesgos!$AB$47="Muy Baja",Riesgos!$AD$47="Moderado"),CONCATENATE("R8C",Riesgos!$R$47),"")</f>
        <v/>
      </c>
      <c r="X53" s="62" t="str">
        <f>IF(AND(Riesgos!$AB$48="Muy Baja",Riesgos!$AD$48="Moderado"),CONCATENATE("R8C",Riesgos!$R$48),"")</f>
        <v/>
      </c>
      <c r="Y53" s="62" t="str">
        <f>IF(AND(Riesgos!$AB$49="Muy Baja",Riesgos!$AD$49="Moderado"),CONCATENATE("R8C",Riesgos!$R$49),"")</f>
        <v/>
      </c>
      <c r="Z53" s="62" t="str">
        <f>IF(AND(Riesgos!$AB$50="Muy Baja",Riesgos!$AD$50="Moderado"),CONCATENATE("R8C",Riesgos!$R$50),"")</f>
        <v/>
      </c>
      <c r="AA53" s="63" t="str">
        <f>IF(AND(Riesgos!$AB$51="Muy Baja",Riesgos!$AD$51="Moderado"),CONCATENATE("R8C",Riesgos!$R$51),"")</f>
        <v/>
      </c>
      <c r="AB53" s="46" t="str">
        <f>IF(AND(Riesgos!$AB$46="Muy Baja",Riesgos!$AD$46="Mayor"),CONCATENATE("R8C",Riesgos!$R$46),"")</f>
        <v/>
      </c>
      <c r="AC53" s="47" t="str">
        <f>IF(AND(Riesgos!$AB$47="Muy Baja",Riesgos!$AD$47="Mayor"),CONCATENATE("R8C",Riesgos!$R$47),"")</f>
        <v/>
      </c>
      <c r="AD53" s="47" t="str">
        <f>IF(AND(Riesgos!$AB$48="Muy Baja",Riesgos!$AD$48="Mayor"),CONCATENATE("R8C",Riesgos!$R$48),"")</f>
        <v/>
      </c>
      <c r="AE53" s="47" t="str">
        <f>IF(AND(Riesgos!$AB$49="Muy Baja",Riesgos!$AD$49="Mayor"),CONCATENATE("R8C",Riesgos!$R$49),"")</f>
        <v/>
      </c>
      <c r="AF53" s="47" t="str">
        <f>IF(AND(Riesgos!$AB$50="Muy Baja",Riesgos!$AD$50="Mayor"),CONCATENATE("R8C",Riesgos!$R$50),"")</f>
        <v>R8C2</v>
      </c>
      <c r="AG53" s="48" t="str">
        <f>IF(AND(Riesgos!$AB$51="Muy Baja",Riesgos!$AD$51="Mayor"),CONCATENATE("R8C",Riesgos!$R$51),"")</f>
        <v>R8C3</v>
      </c>
      <c r="AH53" s="49" t="str">
        <f>IF(AND(Riesgos!$AB$46="Muy Baja",Riesgos!$AD$46="Catastrófico"),CONCATENATE("R8C",Riesgos!$R$46),"")</f>
        <v/>
      </c>
      <c r="AI53" s="50" t="str">
        <f>IF(AND(Riesgos!$AB$47="Muy Baja",Riesgos!$AD$47="Catastrófico"),CONCATENATE("R8C",Riesgos!$R$47),"")</f>
        <v/>
      </c>
      <c r="AJ53" s="50" t="str">
        <f>IF(AND(Riesgos!$AB$48="Muy Baja",Riesgos!$AD$48="Catastrófico"),CONCATENATE("R8C",Riesgos!$R$48),"")</f>
        <v/>
      </c>
      <c r="AK53" s="50" t="str">
        <f>IF(AND(Riesgos!$AB$49="Muy Baja",Riesgos!$AD$49="Catastrófico"),CONCATENATE("R8C",Riesgos!$R$49),"")</f>
        <v/>
      </c>
      <c r="AL53" s="50" t="str">
        <f>IF(AND(Riesgos!$AB$50="Muy Baja",Riesgos!$AD$50="Catastrófico"),CONCATENATE("R8C",Riesgos!$R$50),"")</f>
        <v/>
      </c>
      <c r="AM53" s="51" t="str">
        <f>IF(AND(Riesgos!$AB$51="Muy Baja",Riesgos!$AD$51="Catastrófico"),CONCATENATE("R8C",Riesgos!$R$51),"")</f>
        <v/>
      </c>
      <c r="AN53" s="77"/>
      <c r="AO53" s="77"/>
      <c r="AP53" s="77"/>
      <c r="AQ53" s="77"/>
      <c r="AR53" s="77"/>
      <c r="AS53" s="77"/>
      <c r="AT53" s="77"/>
      <c r="AU53" s="77"/>
      <c r="AV53" s="77"/>
      <c r="AW53" s="77"/>
      <c r="AX53" s="77"/>
      <c r="AY53" s="77"/>
      <c r="AZ53" s="77"/>
      <c r="BA53" s="77"/>
      <c r="BB53" s="77"/>
      <c r="BC53" s="77"/>
      <c r="BD53" s="77"/>
      <c r="BE53" s="77"/>
      <c r="BF53" s="77"/>
      <c r="BG53" s="77"/>
      <c r="BH53" s="77"/>
      <c r="BI53" s="77"/>
      <c r="BJ53" s="77"/>
      <c r="BK53" s="77"/>
      <c r="BL53" s="77"/>
      <c r="BM53" s="77"/>
      <c r="BN53" s="77"/>
      <c r="BO53" s="77"/>
      <c r="BP53" s="77"/>
      <c r="BQ53" s="77"/>
      <c r="BR53" s="77"/>
      <c r="BS53" s="77"/>
      <c r="BT53" s="77"/>
      <c r="BU53" s="77"/>
      <c r="BV53" s="77"/>
      <c r="BW53" s="77"/>
      <c r="BX53" s="77"/>
      <c r="BY53" s="77"/>
      <c r="BZ53" s="77"/>
      <c r="CA53" s="77"/>
      <c r="CB53" s="77"/>
    </row>
    <row r="54" spans="1:80" ht="15" customHeight="1" x14ac:dyDescent="0.25">
      <c r="A54" s="77"/>
      <c r="B54" s="390"/>
      <c r="C54" s="390"/>
      <c r="D54" s="391"/>
      <c r="E54" s="431"/>
      <c r="F54" s="432"/>
      <c r="G54" s="432"/>
      <c r="H54" s="432"/>
      <c r="I54" s="433"/>
      <c r="J54" s="70" t="str">
        <f>IF(AND(Riesgos!$AB$52="Muy Baja",Riesgos!$AD$52="Leve"),CONCATENATE("R9C",Riesgos!$R$52),"")</f>
        <v/>
      </c>
      <c r="K54" s="71" t="str">
        <f>IF(AND(Riesgos!$AB$53="Muy Baja",Riesgos!$AD$53="Leve"),CONCATENATE("R9C",Riesgos!$R$53),"")</f>
        <v/>
      </c>
      <c r="L54" s="71" t="str">
        <f>IF(AND(Riesgos!$AB$54="Muy Baja",Riesgos!$AD$54="Leve"),CONCATENATE("R9C",Riesgos!$R$54),"")</f>
        <v/>
      </c>
      <c r="M54" s="71" t="str">
        <f>IF(AND(Riesgos!$AB$55="Muy Baja",Riesgos!$AD$55="Leve"),CONCATENATE("R9C",Riesgos!$R$55),"")</f>
        <v/>
      </c>
      <c r="N54" s="71" t="str">
        <f>IF(AND(Riesgos!$AB$56="Muy Baja",Riesgos!$AD$56="Leve"),CONCATENATE("R9C",Riesgos!$R$56),"")</f>
        <v/>
      </c>
      <c r="O54" s="72" t="str">
        <f>IF(AND(Riesgos!$AB$57="Muy Baja",Riesgos!$AD$57="Leve"),CONCATENATE("R9C",Riesgos!$R$57),"")</f>
        <v/>
      </c>
      <c r="P54" s="70" t="str">
        <f>IF(AND(Riesgos!$AB$52="Muy Baja",Riesgos!$AD$52="Menor"),CONCATENATE("R9C",Riesgos!$R$52),"")</f>
        <v/>
      </c>
      <c r="Q54" s="71" t="str">
        <f>IF(AND(Riesgos!$AB$53="Muy Baja",Riesgos!$AD$53="Menor"),CONCATENATE("R9C",Riesgos!$R$53),"")</f>
        <v/>
      </c>
      <c r="R54" s="71" t="str">
        <f>IF(AND(Riesgos!$AB$54="Muy Baja",Riesgos!$AD$54="Menor"),CONCATENATE("R9C",Riesgos!$R$54),"")</f>
        <v/>
      </c>
      <c r="S54" s="71" t="str">
        <f>IF(AND(Riesgos!$AB$55="Muy Baja",Riesgos!$AD$55="Menor"),CONCATENATE("R9C",Riesgos!$R$55),"")</f>
        <v/>
      </c>
      <c r="T54" s="71" t="str">
        <f>IF(AND(Riesgos!$AB$56="Muy Baja",Riesgos!$AD$56="Menor"),CONCATENATE("R9C",Riesgos!$R$56),"")</f>
        <v/>
      </c>
      <c r="U54" s="72" t="str">
        <f>IF(AND(Riesgos!$AB$57="Muy Baja",Riesgos!$AD$57="Menor"),CONCATENATE("R9C",Riesgos!$R$57),"")</f>
        <v/>
      </c>
      <c r="V54" s="61" t="str">
        <f>IF(AND(Riesgos!$AB$52="Muy Baja",Riesgos!$AD$52="Moderado"),CONCATENATE("R9C",Riesgos!$R$52),"")</f>
        <v/>
      </c>
      <c r="W54" s="62" t="str">
        <f>IF(AND(Riesgos!$AB$53="Muy Baja",Riesgos!$AD$53="Moderado"),CONCATENATE("R9C",Riesgos!$R$53),"")</f>
        <v/>
      </c>
      <c r="X54" s="62" t="str">
        <f>IF(AND(Riesgos!$AB$54="Muy Baja",Riesgos!$AD$54="Moderado"),CONCATENATE("R9C",Riesgos!$R$54),"")</f>
        <v/>
      </c>
      <c r="Y54" s="62" t="str">
        <f>IF(AND(Riesgos!$AB$55="Muy Baja",Riesgos!$AD$55="Moderado"),CONCATENATE("R9C",Riesgos!$R$55),"")</f>
        <v/>
      </c>
      <c r="Z54" s="62" t="str">
        <f>IF(AND(Riesgos!$AB$56="Muy Baja",Riesgos!$AD$56="Moderado"),CONCATENATE("R9C",Riesgos!$R$56),"")</f>
        <v/>
      </c>
      <c r="AA54" s="63" t="str">
        <f>IF(AND(Riesgos!$AB$57="Muy Baja",Riesgos!$AD$57="Moderado"),CONCATENATE("R9C",Riesgos!$R$57),"")</f>
        <v/>
      </c>
      <c r="AB54" s="46" t="str">
        <f>IF(AND(Riesgos!$AB$52="Muy Baja",Riesgos!$AD$52="Mayor"),CONCATENATE("R9C",Riesgos!$R$52),"")</f>
        <v/>
      </c>
      <c r="AC54" s="47" t="str">
        <f>IF(AND(Riesgos!$AB$53="Muy Baja",Riesgos!$AD$53="Mayor"),CONCATENATE("R9C",Riesgos!$R$53),"")</f>
        <v/>
      </c>
      <c r="AD54" s="47" t="str">
        <f>IF(AND(Riesgos!$AB$54="Muy Baja",Riesgos!$AD$54="Mayor"),CONCATENATE("R9C",Riesgos!$R$54),"")</f>
        <v/>
      </c>
      <c r="AE54" s="47" t="str">
        <f>IF(AND(Riesgos!$AB$55="Muy Baja",Riesgos!$AD$55="Mayor"),CONCATENATE("R9C",Riesgos!$R$55),"")</f>
        <v/>
      </c>
      <c r="AF54" s="47" t="str">
        <f>IF(AND(Riesgos!$AB$56="Muy Baja",Riesgos!$AD$56="Mayor"),CONCATENATE("R9C",Riesgos!$R$56),"")</f>
        <v/>
      </c>
      <c r="AG54" s="48" t="str">
        <f>IF(AND(Riesgos!$AB$57="Muy Baja",Riesgos!$AD$57="Mayor"),CONCATENATE("R9C",Riesgos!$R$57),"")</f>
        <v/>
      </c>
      <c r="AH54" s="49" t="str">
        <f>IF(AND(Riesgos!$AB$52="Muy Baja",Riesgos!$AD$52="Catastrófico"),CONCATENATE("R9C",Riesgos!$R$52),"")</f>
        <v/>
      </c>
      <c r="AI54" s="50" t="str">
        <f>IF(AND(Riesgos!$AB$53="Muy Baja",Riesgos!$AD$53="Catastrófico"),CONCATENATE("R9C",Riesgos!$R$53),"")</f>
        <v/>
      </c>
      <c r="AJ54" s="50" t="str">
        <f>IF(AND(Riesgos!$AB$54="Muy Baja",Riesgos!$AD$54="Catastrófico"),CONCATENATE("R9C",Riesgos!$R$54),"")</f>
        <v/>
      </c>
      <c r="AK54" s="50" t="str">
        <f>IF(AND(Riesgos!$AB$55="Muy Baja",Riesgos!$AD$55="Catastrófico"),CONCATENATE("R9C",Riesgos!$R$55),"")</f>
        <v/>
      </c>
      <c r="AL54" s="50" t="str">
        <f>IF(AND(Riesgos!$AB$56="Muy Baja",Riesgos!$AD$56="Catastrófico"),CONCATENATE("R9C",Riesgos!$R$56),"")</f>
        <v/>
      </c>
      <c r="AM54" s="51" t="str">
        <f>IF(AND(Riesgos!$AB$57="Muy Baja",Riesgos!$AD$57="Catastrófico"),CONCATENATE("R9C",Riesgos!$R$57),"")</f>
        <v/>
      </c>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7"/>
      <c r="BS54" s="77"/>
      <c r="BT54" s="77"/>
      <c r="BU54" s="77"/>
      <c r="BV54" s="77"/>
      <c r="BW54" s="77"/>
      <c r="BX54" s="77"/>
      <c r="BY54" s="77"/>
      <c r="BZ54" s="77"/>
      <c r="CA54" s="77"/>
      <c r="CB54" s="77"/>
    </row>
    <row r="55" spans="1:80" ht="15.75" customHeight="1" thickBot="1" x14ac:dyDescent="0.3">
      <c r="A55" s="77"/>
      <c r="B55" s="390"/>
      <c r="C55" s="390"/>
      <c r="D55" s="391"/>
      <c r="E55" s="434"/>
      <c r="F55" s="435"/>
      <c r="G55" s="435"/>
      <c r="H55" s="435"/>
      <c r="I55" s="436"/>
      <c r="J55" s="73" t="e">
        <f>IF(AND(Riesgos!#REF!="Muy Baja",Riesgos!#REF!="Leve"),CONCATENATE("R10C",Riesgos!#REF!),"")</f>
        <v>#REF!</v>
      </c>
      <c r="K55" s="74" t="e">
        <f>IF(AND(Riesgos!#REF!="Muy Baja",Riesgos!#REF!="Leve"),CONCATENATE("R10C",Riesgos!#REF!),"")</f>
        <v>#REF!</v>
      </c>
      <c r="L55" s="74" t="e">
        <f>IF(AND(Riesgos!#REF!="Muy Baja",Riesgos!#REF!="Leve"),CONCATENATE("R10C",Riesgos!#REF!),"")</f>
        <v>#REF!</v>
      </c>
      <c r="M55" s="74" t="e">
        <f>IF(AND(Riesgos!#REF!="Muy Baja",Riesgos!#REF!="Leve"),CONCATENATE("R10C",Riesgos!#REF!),"")</f>
        <v>#REF!</v>
      </c>
      <c r="N55" s="74" t="e">
        <f>IF(AND(Riesgos!#REF!="Muy Baja",Riesgos!#REF!="Leve"),CONCATENATE("R10C",Riesgos!#REF!),"")</f>
        <v>#REF!</v>
      </c>
      <c r="O55" s="75" t="e">
        <f>IF(AND(Riesgos!#REF!="Muy Baja",Riesgos!#REF!="Leve"),CONCATENATE("R10C",Riesgos!#REF!),"")</f>
        <v>#REF!</v>
      </c>
      <c r="P55" s="73" t="e">
        <f>IF(AND(Riesgos!#REF!="Muy Baja",Riesgos!#REF!="Menor"),CONCATENATE("R10C",Riesgos!#REF!),"")</f>
        <v>#REF!</v>
      </c>
      <c r="Q55" s="74" t="e">
        <f>IF(AND(Riesgos!#REF!="Muy Baja",Riesgos!#REF!="Menor"),CONCATENATE("R10C",Riesgos!#REF!),"")</f>
        <v>#REF!</v>
      </c>
      <c r="R55" s="74" t="e">
        <f>IF(AND(Riesgos!#REF!="Muy Baja",Riesgos!#REF!="Menor"),CONCATENATE("R10C",Riesgos!#REF!),"")</f>
        <v>#REF!</v>
      </c>
      <c r="S55" s="74" t="e">
        <f>IF(AND(Riesgos!#REF!="Muy Baja",Riesgos!#REF!="Menor"),CONCATENATE("R10C",Riesgos!#REF!),"")</f>
        <v>#REF!</v>
      </c>
      <c r="T55" s="74" t="e">
        <f>IF(AND(Riesgos!#REF!="Muy Baja",Riesgos!#REF!="Menor"),CONCATENATE("R10C",Riesgos!#REF!),"")</f>
        <v>#REF!</v>
      </c>
      <c r="U55" s="75" t="e">
        <f>IF(AND(Riesgos!#REF!="Muy Baja",Riesgos!#REF!="Menor"),CONCATENATE("R10C",Riesgos!#REF!),"")</f>
        <v>#REF!</v>
      </c>
      <c r="V55" s="64" t="e">
        <f>IF(AND(Riesgos!#REF!="Muy Baja",Riesgos!#REF!="Moderado"),CONCATENATE("R10C",Riesgos!#REF!),"")</f>
        <v>#REF!</v>
      </c>
      <c r="W55" s="65" t="e">
        <f>IF(AND(Riesgos!#REF!="Muy Baja",Riesgos!#REF!="Moderado"),CONCATENATE("R10C",Riesgos!#REF!),"")</f>
        <v>#REF!</v>
      </c>
      <c r="X55" s="65" t="e">
        <f>IF(AND(Riesgos!#REF!="Muy Baja",Riesgos!#REF!="Moderado"),CONCATENATE("R10C",Riesgos!#REF!),"")</f>
        <v>#REF!</v>
      </c>
      <c r="Y55" s="65" t="e">
        <f>IF(AND(Riesgos!#REF!="Muy Baja",Riesgos!#REF!="Moderado"),CONCATENATE("R10C",Riesgos!#REF!),"")</f>
        <v>#REF!</v>
      </c>
      <c r="Z55" s="65" t="e">
        <f>IF(AND(Riesgos!#REF!="Muy Baja",Riesgos!#REF!="Moderado"),CONCATENATE("R10C",Riesgos!#REF!),"")</f>
        <v>#REF!</v>
      </c>
      <c r="AA55" s="66" t="e">
        <f>IF(AND(Riesgos!#REF!="Muy Baja",Riesgos!#REF!="Moderado"),CONCATENATE("R10C",Riesgos!#REF!),"")</f>
        <v>#REF!</v>
      </c>
      <c r="AB55" s="52" t="e">
        <f>IF(AND(Riesgos!#REF!="Muy Baja",Riesgos!#REF!="Mayor"),CONCATENATE("R10C",Riesgos!#REF!),"")</f>
        <v>#REF!</v>
      </c>
      <c r="AC55" s="53" t="e">
        <f>IF(AND(Riesgos!#REF!="Muy Baja",Riesgos!#REF!="Mayor"),CONCATENATE("R10C",Riesgos!#REF!),"")</f>
        <v>#REF!</v>
      </c>
      <c r="AD55" s="53" t="e">
        <f>IF(AND(Riesgos!#REF!="Muy Baja",Riesgos!#REF!="Mayor"),CONCATENATE("R10C",Riesgos!#REF!),"")</f>
        <v>#REF!</v>
      </c>
      <c r="AE55" s="53" t="e">
        <f>IF(AND(Riesgos!#REF!="Muy Baja",Riesgos!#REF!="Mayor"),CONCATENATE("R10C",Riesgos!#REF!),"")</f>
        <v>#REF!</v>
      </c>
      <c r="AF55" s="53" t="e">
        <f>IF(AND(Riesgos!#REF!="Muy Baja",Riesgos!#REF!="Mayor"),CONCATENATE("R10C",Riesgos!#REF!),"")</f>
        <v>#REF!</v>
      </c>
      <c r="AG55" s="54" t="e">
        <f>IF(AND(Riesgos!#REF!="Muy Baja",Riesgos!#REF!="Mayor"),CONCATENATE("R10C",Riesgos!#REF!),"")</f>
        <v>#REF!</v>
      </c>
      <c r="AH55" s="55" t="e">
        <f>IF(AND(Riesgos!#REF!="Muy Baja",Riesgos!#REF!="Catastrófico"),CONCATENATE("R10C",Riesgos!#REF!),"")</f>
        <v>#REF!</v>
      </c>
      <c r="AI55" s="56" t="e">
        <f>IF(AND(Riesgos!#REF!="Muy Baja",Riesgos!#REF!="Catastrófico"),CONCATENATE("R10C",Riesgos!#REF!),"")</f>
        <v>#REF!</v>
      </c>
      <c r="AJ55" s="56" t="e">
        <f>IF(AND(Riesgos!#REF!="Muy Baja",Riesgos!#REF!="Catastrófico"),CONCATENATE("R10C",Riesgos!#REF!),"")</f>
        <v>#REF!</v>
      </c>
      <c r="AK55" s="56" t="e">
        <f>IF(AND(Riesgos!#REF!="Muy Baja",Riesgos!#REF!="Catastrófico"),CONCATENATE("R10C",Riesgos!#REF!),"")</f>
        <v>#REF!</v>
      </c>
      <c r="AL55" s="56" t="e">
        <f>IF(AND(Riesgos!#REF!="Muy Baja",Riesgos!#REF!="Catastrófico"),CONCATENATE("R10C",Riesgos!#REF!),"")</f>
        <v>#REF!</v>
      </c>
      <c r="AM55" s="57" t="e">
        <f>IF(AND(Riesgos!#REF!="Muy Baja",Riesgos!#REF!="Catastrófico"),CONCATENATE("R10C",Riesgos!#REF!),"")</f>
        <v>#REF!</v>
      </c>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7"/>
      <c r="BS55" s="77"/>
      <c r="BT55" s="77"/>
      <c r="BU55" s="77"/>
      <c r="BV55" s="77"/>
      <c r="BW55" s="77"/>
      <c r="BX55" s="77"/>
      <c r="BY55" s="77"/>
      <c r="BZ55" s="77"/>
      <c r="CA55" s="77"/>
      <c r="CB55" s="77"/>
    </row>
    <row r="56" spans="1:80" x14ac:dyDescent="0.25">
      <c r="A56" s="77"/>
      <c r="B56" s="77"/>
      <c r="C56" s="77"/>
      <c r="D56" s="77"/>
      <c r="E56" s="77"/>
      <c r="F56" s="77"/>
      <c r="G56" s="77"/>
      <c r="H56" s="77"/>
      <c r="I56" s="77"/>
      <c r="J56" s="428" t="s">
        <v>109</v>
      </c>
      <c r="K56" s="429"/>
      <c r="L56" s="429"/>
      <c r="M56" s="429"/>
      <c r="N56" s="429"/>
      <c r="O56" s="430"/>
      <c r="P56" s="428" t="s">
        <v>108</v>
      </c>
      <c r="Q56" s="429"/>
      <c r="R56" s="429"/>
      <c r="S56" s="429"/>
      <c r="T56" s="429"/>
      <c r="U56" s="430"/>
      <c r="V56" s="428" t="s">
        <v>107</v>
      </c>
      <c r="W56" s="429"/>
      <c r="X56" s="429"/>
      <c r="Y56" s="429"/>
      <c r="Z56" s="429"/>
      <c r="AA56" s="430"/>
      <c r="AB56" s="428" t="s">
        <v>106</v>
      </c>
      <c r="AC56" s="437"/>
      <c r="AD56" s="429"/>
      <c r="AE56" s="429"/>
      <c r="AF56" s="429"/>
      <c r="AG56" s="430"/>
      <c r="AH56" s="428" t="s">
        <v>105</v>
      </c>
      <c r="AI56" s="429"/>
      <c r="AJ56" s="429"/>
      <c r="AK56" s="429"/>
      <c r="AL56" s="429"/>
      <c r="AM56" s="430"/>
      <c r="AN56" s="77"/>
      <c r="AO56" s="77"/>
      <c r="AP56" s="77"/>
      <c r="AQ56" s="77"/>
      <c r="AR56" s="77"/>
      <c r="AS56" s="77"/>
      <c r="AT56" s="77"/>
      <c r="AU56" s="77"/>
      <c r="AV56" s="77"/>
      <c r="AW56" s="77"/>
      <c r="AX56" s="77"/>
      <c r="AY56" s="77"/>
      <c r="AZ56" s="77"/>
      <c r="BA56" s="77"/>
      <c r="BB56" s="77"/>
      <c r="BC56" s="77"/>
      <c r="BD56" s="77"/>
      <c r="BE56" s="77"/>
      <c r="BF56" s="77"/>
      <c r="BG56" s="77"/>
      <c r="BH56" s="77"/>
      <c r="BI56" s="77"/>
      <c r="BJ56" s="77"/>
      <c r="BK56" s="77"/>
      <c r="BL56" s="77"/>
      <c r="BM56" s="77"/>
      <c r="BN56" s="77"/>
      <c r="BO56" s="77"/>
      <c r="BP56" s="77"/>
      <c r="BQ56" s="77"/>
      <c r="BR56" s="77"/>
      <c r="BS56" s="77"/>
      <c r="BT56" s="77"/>
      <c r="BU56" s="77"/>
      <c r="BV56" s="77"/>
      <c r="BW56" s="77"/>
      <c r="BX56" s="77"/>
      <c r="BY56" s="77"/>
      <c r="BZ56" s="77"/>
      <c r="CA56" s="77"/>
      <c r="CB56" s="77"/>
    </row>
    <row r="57" spans="1:80" x14ac:dyDescent="0.25">
      <c r="A57" s="77"/>
      <c r="B57" s="77"/>
      <c r="C57" s="77"/>
      <c r="D57" s="77"/>
      <c r="E57" s="77"/>
      <c r="F57" s="77"/>
      <c r="G57" s="77"/>
      <c r="H57" s="77"/>
      <c r="I57" s="77"/>
      <c r="J57" s="431"/>
      <c r="K57" s="432"/>
      <c r="L57" s="432"/>
      <c r="M57" s="432"/>
      <c r="N57" s="432"/>
      <c r="O57" s="433"/>
      <c r="P57" s="431"/>
      <c r="Q57" s="432"/>
      <c r="R57" s="432"/>
      <c r="S57" s="432"/>
      <c r="T57" s="432"/>
      <c r="U57" s="433"/>
      <c r="V57" s="431"/>
      <c r="W57" s="432"/>
      <c r="X57" s="432"/>
      <c r="Y57" s="432"/>
      <c r="Z57" s="432"/>
      <c r="AA57" s="433"/>
      <c r="AB57" s="431"/>
      <c r="AC57" s="432"/>
      <c r="AD57" s="432"/>
      <c r="AE57" s="432"/>
      <c r="AF57" s="432"/>
      <c r="AG57" s="433"/>
      <c r="AH57" s="431"/>
      <c r="AI57" s="432"/>
      <c r="AJ57" s="432"/>
      <c r="AK57" s="432"/>
      <c r="AL57" s="432"/>
      <c r="AM57" s="433"/>
      <c r="AN57" s="77"/>
      <c r="AO57" s="77"/>
      <c r="AP57" s="77"/>
      <c r="AQ57" s="77"/>
      <c r="AR57" s="77"/>
      <c r="AS57" s="77"/>
      <c r="AT57" s="77"/>
      <c r="AU57" s="77"/>
      <c r="AV57" s="77"/>
      <c r="AW57" s="77"/>
      <c r="AX57" s="77"/>
      <c r="AY57" s="77"/>
      <c r="AZ57" s="77"/>
      <c r="BA57" s="77"/>
      <c r="BB57" s="77"/>
      <c r="BC57" s="77"/>
      <c r="BD57" s="77"/>
      <c r="BE57" s="77"/>
      <c r="BF57" s="77"/>
      <c r="BG57" s="77"/>
      <c r="BH57" s="77"/>
      <c r="BI57" s="77"/>
      <c r="BJ57" s="77"/>
      <c r="BK57" s="77"/>
      <c r="BL57" s="77"/>
      <c r="BM57" s="77"/>
      <c r="BN57" s="77"/>
      <c r="BO57" s="77"/>
      <c r="BP57" s="77"/>
      <c r="BQ57" s="77"/>
      <c r="BR57" s="77"/>
      <c r="BS57" s="77"/>
      <c r="BT57" s="77"/>
      <c r="BU57" s="77"/>
      <c r="BV57" s="77"/>
      <c r="BW57" s="77"/>
      <c r="BX57" s="77"/>
      <c r="BY57" s="77"/>
      <c r="BZ57" s="77"/>
      <c r="CA57" s="77"/>
      <c r="CB57" s="77"/>
    </row>
    <row r="58" spans="1:80" x14ac:dyDescent="0.25">
      <c r="A58" s="77"/>
      <c r="B58" s="77"/>
      <c r="C58" s="77"/>
      <c r="D58" s="77"/>
      <c r="E58" s="77"/>
      <c r="F58" s="77"/>
      <c r="G58" s="77"/>
      <c r="H58" s="77"/>
      <c r="I58" s="77"/>
      <c r="J58" s="431"/>
      <c r="K58" s="432"/>
      <c r="L58" s="432"/>
      <c r="M58" s="432"/>
      <c r="N58" s="432"/>
      <c r="O58" s="433"/>
      <c r="P58" s="431"/>
      <c r="Q58" s="432"/>
      <c r="R58" s="432"/>
      <c r="S58" s="432"/>
      <c r="T58" s="432"/>
      <c r="U58" s="433"/>
      <c r="V58" s="431"/>
      <c r="W58" s="432"/>
      <c r="X58" s="432"/>
      <c r="Y58" s="432"/>
      <c r="Z58" s="432"/>
      <c r="AA58" s="433"/>
      <c r="AB58" s="431"/>
      <c r="AC58" s="432"/>
      <c r="AD58" s="432"/>
      <c r="AE58" s="432"/>
      <c r="AF58" s="432"/>
      <c r="AG58" s="433"/>
      <c r="AH58" s="431"/>
      <c r="AI58" s="432"/>
      <c r="AJ58" s="432"/>
      <c r="AK58" s="432"/>
      <c r="AL58" s="432"/>
      <c r="AM58" s="433"/>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7"/>
      <c r="BR58" s="77"/>
      <c r="BS58" s="77"/>
      <c r="BT58" s="77"/>
      <c r="BU58" s="77"/>
      <c r="BV58" s="77"/>
      <c r="BW58" s="77"/>
      <c r="BX58" s="77"/>
      <c r="BY58" s="77"/>
      <c r="BZ58" s="77"/>
      <c r="CA58" s="77"/>
      <c r="CB58" s="77"/>
    </row>
    <row r="59" spans="1:80" x14ac:dyDescent="0.25">
      <c r="A59" s="77"/>
      <c r="B59" s="77"/>
      <c r="C59" s="77"/>
      <c r="D59" s="77"/>
      <c r="E59" s="77"/>
      <c r="F59" s="77"/>
      <c r="G59" s="77"/>
      <c r="H59" s="77"/>
      <c r="I59" s="77"/>
      <c r="J59" s="431"/>
      <c r="K59" s="432"/>
      <c r="L59" s="432"/>
      <c r="M59" s="432"/>
      <c r="N59" s="432"/>
      <c r="O59" s="433"/>
      <c r="P59" s="431"/>
      <c r="Q59" s="432"/>
      <c r="R59" s="432"/>
      <c r="S59" s="432"/>
      <c r="T59" s="432"/>
      <c r="U59" s="433"/>
      <c r="V59" s="431"/>
      <c r="W59" s="432"/>
      <c r="X59" s="432"/>
      <c r="Y59" s="432"/>
      <c r="Z59" s="432"/>
      <c r="AA59" s="433"/>
      <c r="AB59" s="431"/>
      <c r="AC59" s="432"/>
      <c r="AD59" s="432"/>
      <c r="AE59" s="432"/>
      <c r="AF59" s="432"/>
      <c r="AG59" s="433"/>
      <c r="AH59" s="431"/>
      <c r="AI59" s="432"/>
      <c r="AJ59" s="432"/>
      <c r="AK59" s="432"/>
      <c r="AL59" s="432"/>
      <c r="AM59" s="433"/>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c r="BO59" s="77"/>
      <c r="BP59" s="77"/>
      <c r="BQ59" s="77"/>
      <c r="BR59" s="77"/>
      <c r="BS59" s="77"/>
      <c r="BT59" s="77"/>
      <c r="BU59" s="77"/>
      <c r="BV59" s="77"/>
      <c r="BW59" s="77"/>
      <c r="BX59" s="77"/>
      <c r="BY59" s="77"/>
      <c r="BZ59" s="77"/>
      <c r="CA59" s="77"/>
      <c r="CB59" s="77"/>
    </row>
    <row r="60" spans="1:80" x14ac:dyDescent="0.25">
      <c r="A60" s="77"/>
      <c r="B60" s="77"/>
      <c r="C60" s="77"/>
      <c r="D60" s="77"/>
      <c r="E60" s="77"/>
      <c r="F60" s="77"/>
      <c r="G60" s="77"/>
      <c r="H60" s="77"/>
      <c r="I60" s="77"/>
      <c r="J60" s="431"/>
      <c r="K60" s="432"/>
      <c r="L60" s="432"/>
      <c r="M60" s="432"/>
      <c r="N60" s="432"/>
      <c r="O60" s="433"/>
      <c r="P60" s="431"/>
      <c r="Q60" s="432"/>
      <c r="R60" s="432"/>
      <c r="S60" s="432"/>
      <c r="T60" s="432"/>
      <c r="U60" s="433"/>
      <c r="V60" s="431"/>
      <c r="W60" s="432"/>
      <c r="X60" s="432"/>
      <c r="Y60" s="432"/>
      <c r="Z60" s="432"/>
      <c r="AA60" s="433"/>
      <c r="AB60" s="431"/>
      <c r="AC60" s="432"/>
      <c r="AD60" s="432"/>
      <c r="AE60" s="432"/>
      <c r="AF60" s="432"/>
      <c r="AG60" s="433"/>
      <c r="AH60" s="431"/>
      <c r="AI60" s="432"/>
      <c r="AJ60" s="432"/>
      <c r="AK60" s="432"/>
      <c r="AL60" s="432"/>
      <c r="AM60" s="433"/>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c r="BR60" s="77"/>
      <c r="BS60" s="77"/>
      <c r="BT60" s="77"/>
      <c r="BU60" s="77"/>
      <c r="BV60" s="77"/>
      <c r="BW60" s="77"/>
      <c r="BX60" s="77"/>
      <c r="BY60" s="77"/>
      <c r="BZ60" s="77"/>
      <c r="CA60" s="77"/>
      <c r="CB60" s="77"/>
    </row>
    <row r="61" spans="1:80" ht="15.75" thickBot="1" x14ac:dyDescent="0.3">
      <c r="A61" s="77"/>
      <c r="B61" s="77"/>
      <c r="C61" s="77"/>
      <c r="D61" s="77"/>
      <c r="E61" s="77"/>
      <c r="F61" s="77"/>
      <c r="G61" s="77"/>
      <c r="H61" s="77"/>
      <c r="I61" s="77"/>
      <c r="J61" s="434"/>
      <c r="K61" s="435"/>
      <c r="L61" s="435"/>
      <c r="M61" s="435"/>
      <c r="N61" s="435"/>
      <c r="O61" s="436"/>
      <c r="P61" s="434"/>
      <c r="Q61" s="435"/>
      <c r="R61" s="435"/>
      <c r="S61" s="435"/>
      <c r="T61" s="435"/>
      <c r="U61" s="436"/>
      <c r="V61" s="434"/>
      <c r="W61" s="435"/>
      <c r="X61" s="435"/>
      <c r="Y61" s="435"/>
      <c r="Z61" s="435"/>
      <c r="AA61" s="436"/>
      <c r="AB61" s="434"/>
      <c r="AC61" s="435"/>
      <c r="AD61" s="435"/>
      <c r="AE61" s="435"/>
      <c r="AF61" s="435"/>
      <c r="AG61" s="436"/>
      <c r="AH61" s="434"/>
      <c r="AI61" s="435"/>
      <c r="AJ61" s="435"/>
      <c r="AK61" s="435"/>
      <c r="AL61" s="435"/>
      <c r="AM61" s="436"/>
      <c r="AN61" s="77"/>
      <c r="AO61" s="77"/>
      <c r="AP61" s="77"/>
      <c r="AQ61" s="77"/>
      <c r="AR61" s="77"/>
      <c r="AS61" s="77"/>
      <c r="AT61" s="77"/>
      <c r="AU61" s="77"/>
      <c r="AV61" s="77"/>
      <c r="AW61" s="77"/>
      <c r="AX61" s="77"/>
      <c r="AY61" s="77"/>
      <c r="AZ61" s="77"/>
      <c r="BA61" s="77"/>
      <c r="BB61" s="77"/>
      <c r="BC61" s="77"/>
      <c r="BD61" s="77"/>
      <c r="BE61" s="77"/>
      <c r="BF61" s="77"/>
      <c r="BG61" s="77"/>
      <c r="BH61" s="77"/>
      <c r="BI61" s="77"/>
      <c r="BJ61" s="77"/>
      <c r="BK61" s="77"/>
      <c r="BL61" s="77"/>
      <c r="BM61" s="77"/>
      <c r="BN61" s="77"/>
      <c r="BO61" s="77"/>
      <c r="BP61" s="77"/>
      <c r="BQ61" s="77"/>
      <c r="BR61" s="77"/>
      <c r="BS61" s="77"/>
      <c r="BT61" s="77"/>
      <c r="BU61" s="77"/>
      <c r="BV61" s="77"/>
      <c r="BW61" s="77"/>
      <c r="BX61" s="77"/>
      <c r="BY61" s="77"/>
      <c r="BZ61" s="77"/>
      <c r="CA61" s="77"/>
      <c r="CB61" s="77"/>
    </row>
    <row r="62" spans="1:80" x14ac:dyDescent="0.25">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row>
    <row r="63" spans="1:80" ht="15" customHeight="1" x14ac:dyDescent="0.25">
      <c r="A63" s="77"/>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77"/>
      <c r="AV63" s="77"/>
      <c r="AW63" s="77"/>
      <c r="AX63" s="77"/>
      <c r="AY63" s="77"/>
      <c r="AZ63" s="77"/>
      <c r="BA63" s="77"/>
      <c r="BB63" s="77"/>
      <c r="BC63" s="77"/>
      <c r="BD63" s="77"/>
      <c r="BE63" s="77"/>
      <c r="BF63" s="77"/>
      <c r="BG63" s="77"/>
      <c r="BH63" s="77"/>
    </row>
    <row r="64" spans="1:80" ht="15" customHeight="1" x14ac:dyDescent="0.25">
      <c r="A64" s="77"/>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77"/>
      <c r="AV64" s="77"/>
      <c r="AW64" s="77"/>
      <c r="AX64" s="77"/>
      <c r="AY64" s="77"/>
      <c r="AZ64" s="77"/>
      <c r="BA64" s="77"/>
      <c r="BB64" s="77"/>
      <c r="BC64" s="77"/>
      <c r="BD64" s="77"/>
      <c r="BE64" s="77"/>
      <c r="BF64" s="77"/>
      <c r="BG64" s="77"/>
      <c r="BH64" s="77"/>
    </row>
    <row r="65" spans="1:60" x14ac:dyDescent="0.25">
      <c r="A65" s="77"/>
      <c r="B65" s="77"/>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c r="BA65" s="77"/>
      <c r="BB65" s="77"/>
      <c r="BC65" s="77"/>
      <c r="BD65" s="77"/>
      <c r="BE65" s="77"/>
      <c r="BF65" s="77"/>
      <c r="BG65" s="77"/>
      <c r="BH65" s="77"/>
    </row>
    <row r="66" spans="1:60" x14ac:dyDescent="0.25">
      <c r="A66" s="77"/>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77"/>
      <c r="BF66" s="77"/>
      <c r="BG66" s="77"/>
      <c r="BH66" s="77"/>
    </row>
    <row r="67" spans="1:60" x14ac:dyDescent="0.25">
      <c r="A67" s="77"/>
      <c r="B67" s="77"/>
      <c r="C67" s="77"/>
      <c r="D67" s="77"/>
      <c r="E67" s="77"/>
      <c r="F67" s="77"/>
      <c r="G67" s="77"/>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77"/>
      <c r="BF67" s="77"/>
      <c r="BG67" s="77"/>
      <c r="BH67" s="77"/>
    </row>
    <row r="68" spans="1:60" x14ac:dyDescent="0.25">
      <c r="A68" s="77"/>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row>
    <row r="69" spans="1:60" x14ac:dyDescent="0.25">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77"/>
      <c r="BF69" s="77"/>
      <c r="BG69" s="77"/>
      <c r="BH69" s="77"/>
    </row>
    <row r="70" spans="1:60" x14ac:dyDescent="0.25">
      <c r="A70" s="77"/>
      <c r="B70" s="77"/>
      <c r="C70" s="77"/>
      <c r="D70" s="77"/>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7"/>
      <c r="BH70" s="77"/>
    </row>
    <row r="71" spans="1:60" x14ac:dyDescent="0.25">
      <c r="A71" s="77"/>
      <c r="B71" s="77"/>
      <c r="C71" s="77"/>
      <c r="D71" s="77"/>
      <c r="E71" s="77"/>
      <c r="F71" s="77"/>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77"/>
      <c r="AW71" s="77"/>
      <c r="AX71" s="77"/>
      <c r="AY71" s="77"/>
      <c r="AZ71" s="77"/>
      <c r="BA71" s="77"/>
      <c r="BB71" s="77"/>
      <c r="BC71" s="77"/>
      <c r="BD71" s="77"/>
      <c r="BE71" s="77"/>
      <c r="BF71" s="77"/>
      <c r="BG71" s="77"/>
      <c r="BH71" s="77"/>
    </row>
    <row r="72" spans="1:60" x14ac:dyDescent="0.25">
      <c r="A72" s="77"/>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row>
    <row r="73" spans="1:60" x14ac:dyDescent="0.25">
      <c r="A73" s="77"/>
      <c r="B73" s="77"/>
      <c r="C73" s="77"/>
      <c r="D73" s="77"/>
      <c r="E73" s="77"/>
      <c r="F73" s="77"/>
      <c r="G73" s="77"/>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77"/>
      <c r="BF73" s="77"/>
      <c r="BG73" s="77"/>
      <c r="BH73" s="77"/>
    </row>
    <row r="74" spans="1:60" x14ac:dyDescent="0.25">
      <c r="A74" s="77"/>
      <c r="B74" s="77"/>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row>
    <row r="75" spans="1:60" x14ac:dyDescent="0.25">
      <c r="A75" s="77"/>
      <c r="B75" s="77"/>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row>
    <row r="76" spans="1:60" x14ac:dyDescent="0.25">
      <c r="A76" s="77"/>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row>
    <row r="77" spans="1:60" x14ac:dyDescent="0.25">
      <c r="A77" s="77"/>
      <c r="B77" s="77"/>
      <c r="C77" s="77"/>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row>
    <row r="78" spans="1:60" x14ac:dyDescent="0.25">
      <c r="A78" s="77"/>
      <c r="B78" s="77"/>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c r="BA78" s="77"/>
      <c r="BB78" s="77"/>
      <c r="BC78" s="77"/>
      <c r="BD78" s="77"/>
      <c r="BE78" s="77"/>
      <c r="BF78" s="77"/>
      <c r="BG78" s="77"/>
      <c r="BH78" s="77"/>
    </row>
    <row r="79" spans="1:60" x14ac:dyDescent="0.25">
      <c r="A79" s="77"/>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row>
    <row r="80" spans="1:60" x14ac:dyDescent="0.25">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row>
    <row r="81" spans="1:60" x14ac:dyDescent="0.25">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c r="BA81" s="77"/>
      <c r="BB81" s="77"/>
      <c r="BC81" s="77"/>
      <c r="BD81" s="77"/>
      <c r="BE81" s="77"/>
      <c r="BF81" s="77"/>
      <c r="BG81" s="77"/>
      <c r="BH81" s="77"/>
    </row>
    <row r="82" spans="1:60" x14ac:dyDescent="0.25">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row>
    <row r="83" spans="1:60" x14ac:dyDescent="0.25">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row>
    <row r="84" spans="1:60" x14ac:dyDescent="0.25">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row>
    <row r="85" spans="1:60" x14ac:dyDescent="0.25">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c r="BA85" s="77"/>
      <c r="BB85" s="77"/>
      <c r="BC85" s="77"/>
      <c r="BD85" s="77"/>
      <c r="BE85" s="77"/>
      <c r="BF85" s="77"/>
      <c r="BG85" s="77"/>
      <c r="BH85" s="77"/>
    </row>
    <row r="86" spans="1:60" x14ac:dyDescent="0.25">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row>
    <row r="87" spans="1:60" x14ac:dyDescent="0.25">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c r="BA87" s="77"/>
      <c r="BB87" s="77"/>
      <c r="BC87" s="77"/>
      <c r="BD87" s="77"/>
      <c r="BE87" s="77"/>
      <c r="BF87" s="77"/>
      <c r="BG87" s="77"/>
      <c r="BH87" s="77"/>
    </row>
    <row r="88" spans="1:60" x14ac:dyDescent="0.25">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c r="BH88" s="77"/>
    </row>
    <row r="89" spans="1:60" x14ac:dyDescent="0.25">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row>
    <row r="90" spans="1:60" x14ac:dyDescent="0.25">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row>
    <row r="91" spans="1:60" x14ac:dyDescent="0.25">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row>
    <row r="92" spans="1:60" x14ac:dyDescent="0.25">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row>
    <row r="93" spans="1:60" x14ac:dyDescent="0.25">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row>
    <row r="94" spans="1:60" x14ac:dyDescent="0.25">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c r="BH94" s="77"/>
    </row>
    <row r="95" spans="1:60" x14ac:dyDescent="0.25">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row>
    <row r="96" spans="1:60" x14ac:dyDescent="0.25">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c r="BA96" s="77"/>
      <c r="BB96" s="77"/>
      <c r="BC96" s="77"/>
      <c r="BD96" s="77"/>
      <c r="BE96" s="77"/>
      <c r="BF96" s="77"/>
      <c r="BG96" s="77"/>
      <c r="BH96" s="77"/>
    </row>
    <row r="97" spans="1:60" x14ac:dyDescent="0.25">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7"/>
      <c r="BA97" s="77"/>
      <c r="BB97" s="77"/>
      <c r="BC97" s="77"/>
      <c r="BD97" s="77"/>
      <c r="BE97" s="77"/>
      <c r="BF97" s="77"/>
      <c r="BG97" s="77"/>
      <c r="BH97" s="77"/>
    </row>
    <row r="98" spans="1:60" x14ac:dyDescent="0.25">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row>
    <row r="99" spans="1:60" x14ac:dyDescent="0.25">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c r="BF99" s="77"/>
      <c r="BG99" s="77"/>
      <c r="BH99" s="77"/>
    </row>
    <row r="100" spans="1:60" x14ac:dyDescent="0.25">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row>
    <row r="101" spans="1:60" x14ac:dyDescent="0.25">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row>
    <row r="102" spans="1:60" x14ac:dyDescent="0.25">
      <c r="A102" s="77"/>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row>
    <row r="103" spans="1:60" x14ac:dyDescent="0.25">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row>
    <row r="104" spans="1:60" x14ac:dyDescent="0.25">
      <c r="A104" s="77"/>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row>
    <row r="105" spans="1:60" x14ac:dyDescent="0.25">
      <c r="A105" s="77"/>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c r="BA105" s="77"/>
      <c r="BB105" s="77"/>
      <c r="BC105" s="77"/>
      <c r="BD105" s="77"/>
      <c r="BE105" s="77"/>
      <c r="BF105" s="77"/>
      <c r="BG105" s="77"/>
      <c r="BH105" s="77"/>
    </row>
    <row r="106" spans="1:60" x14ac:dyDescent="0.25">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c r="BF106" s="77"/>
      <c r="BG106" s="77"/>
      <c r="BH106" s="77"/>
    </row>
    <row r="107" spans="1:60" x14ac:dyDescent="0.25">
      <c r="A107" s="77"/>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row>
    <row r="108" spans="1:60" x14ac:dyDescent="0.25">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c r="BA108" s="77"/>
      <c r="BB108" s="77"/>
      <c r="BC108" s="77"/>
      <c r="BD108" s="77"/>
      <c r="BE108" s="77"/>
      <c r="BF108" s="77"/>
      <c r="BG108" s="77"/>
      <c r="BH108" s="77"/>
    </row>
    <row r="109" spans="1:60" x14ac:dyDescent="0.25">
      <c r="A109" s="77"/>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row>
    <row r="110" spans="1:60" x14ac:dyDescent="0.25">
      <c r="A110" s="77"/>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77"/>
      <c r="AX110" s="77"/>
      <c r="AY110" s="77"/>
      <c r="AZ110" s="77"/>
      <c r="BA110" s="77"/>
      <c r="BB110" s="77"/>
      <c r="BC110" s="77"/>
      <c r="BD110" s="77"/>
      <c r="BE110" s="77"/>
      <c r="BF110" s="77"/>
      <c r="BG110" s="77"/>
      <c r="BH110" s="77"/>
    </row>
    <row r="111" spans="1:60" x14ac:dyDescent="0.25">
      <c r="A111" s="77"/>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c r="BA111" s="77"/>
      <c r="BB111" s="77"/>
      <c r="BC111" s="77"/>
      <c r="BD111" s="77"/>
      <c r="BE111" s="77"/>
      <c r="BF111" s="77"/>
      <c r="BG111" s="77"/>
      <c r="BH111" s="77"/>
    </row>
    <row r="112" spans="1:60" x14ac:dyDescent="0.25">
      <c r="A112" s="77"/>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77"/>
      <c r="BE112" s="77"/>
      <c r="BF112" s="77"/>
      <c r="BG112" s="77"/>
      <c r="BH112" s="77"/>
    </row>
    <row r="113" spans="1:60" x14ac:dyDescent="0.25">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7"/>
      <c r="AL113" s="77"/>
      <c r="AM113" s="77"/>
      <c r="AN113" s="77"/>
      <c r="AO113" s="77"/>
      <c r="AP113" s="77"/>
      <c r="AQ113" s="77"/>
      <c r="AR113" s="77"/>
      <c r="AS113" s="77"/>
      <c r="AT113" s="77"/>
      <c r="AU113" s="77"/>
      <c r="AV113" s="77"/>
      <c r="AW113" s="77"/>
      <c r="AX113" s="77"/>
      <c r="AY113" s="77"/>
      <c r="AZ113" s="77"/>
      <c r="BA113" s="77"/>
      <c r="BB113" s="77"/>
      <c r="BC113" s="77"/>
      <c r="BD113" s="77"/>
      <c r="BE113" s="77"/>
      <c r="BF113" s="77"/>
      <c r="BG113" s="77"/>
      <c r="BH113" s="77"/>
    </row>
    <row r="114" spans="1:60" x14ac:dyDescent="0.25">
      <c r="A114" s="77"/>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row>
    <row r="115" spans="1:60" x14ac:dyDescent="0.25">
      <c r="A115" s="77"/>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77"/>
      <c r="AM115" s="77"/>
      <c r="AN115" s="77"/>
      <c r="AO115" s="77"/>
      <c r="AP115" s="77"/>
      <c r="AQ115" s="77"/>
      <c r="AR115" s="77"/>
      <c r="AS115" s="77"/>
      <c r="AT115" s="77"/>
      <c r="AU115" s="77"/>
      <c r="AV115" s="77"/>
      <c r="AW115" s="77"/>
      <c r="AX115" s="77"/>
      <c r="AY115" s="77"/>
      <c r="AZ115" s="77"/>
      <c r="BA115" s="77"/>
      <c r="BB115" s="77"/>
      <c r="BC115" s="77"/>
      <c r="BD115" s="77"/>
      <c r="BE115" s="77"/>
      <c r="BF115" s="77"/>
      <c r="BG115" s="77"/>
      <c r="BH115" s="77"/>
    </row>
    <row r="116" spans="1:60" x14ac:dyDescent="0.25">
      <c r="A116" s="77"/>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77"/>
      <c r="AW116" s="77"/>
      <c r="AX116" s="77"/>
      <c r="AY116" s="77"/>
      <c r="AZ116" s="77"/>
      <c r="BA116" s="77"/>
      <c r="BB116" s="77"/>
      <c r="BC116" s="77"/>
      <c r="BD116" s="77"/>
      <c r="BE116" s="77"/>
      <c r="BF116" s="77"/>
      <c r="BG116" s="77"/>
      <c r="BH116" s="77"/>
    </row>
    <row r="117" spans="1:60" x14ac:dyDescent="0.25">
      <c r="A117" s="77"/>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c r="AB117" s="77"/>
      <c r="AC117" s="77"/>
      <c r="AD117" s="77"/>
      <c r="AE117" s="77"/>
      <c r="AF117" s="77"/>
      <c r="AG117" s="77"/>
      <c r="AH117" s="77"/>
      <c r="AI117" s="77"/>
      <c r="AJ117" s="77"/>
      <c r="AK117" s="77"/>
      <c r="AL117" s="77"/>
      <c r="AM117" s="77"/>
      <c r="AN117" s="77"/>
      <c r="AO117" s="77"/>
      <c r="AP117" s="77"/>
      <c r="AQ117" s="77"/>
      <c r="AR117" s="77"/>
      <c r="AS117" s="77"/>
      <c r="AT117" s="77"/>
      <c r="AU117" s="77"/>
      <c r="AV117" s="77"/>
      <c r="AW117" s="77"/>
      <c r="AX117" s="77"/>
      <c r="AY117" s="77"/>
      <c r="AZ117" s="77"/>
      <c r="BA117" s="77"/>
      <c r="BB117" s="77"/>
      <c r="BC117" s="77"/>
      <c r="BD117" s="77"/>
      <c r="BE117" s="77"/>
      <c r="BF117" s="77"/>
      <c r="BG117" s="77"/>
      <c r="BH117" s="77"/>
    </row>
    <row r="118" spans="1:60" x14ac:dyDescent="0.25">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77"/>
      <c r="AW118" s="77"/>
      <c r="AX118" s="77"/>
      <c r="AY118" s="77"/>
      <c r="AZ118" s="77"/>
      <c r="BA118" s="77"/>
      <c r="BB118" s="77"/>
      <c r="BC118" s="77"/>
      <c r="BD118" s="77"/>
      <c r="BE118" s="77"/>
      <c r="BF118" s="77"/>
      <c r="BG118" s="77"/>
      <c r="BH118" s="77"/>
    </row>
    <row r="119" spans="1:60" x14ac:dyDescent="0.25">
      <c r="A119" s="77"/>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c r="AB119" s="77"/>
      <c r="AC119" s="77"/>
      <c r="AD119" s="77"/>
      <c r="AE119" s="77"/>
      <c r="AF119" s="77"/>
      <c r="AG119" s="77"/>
      <c r="AH119" s="77"/>
      <c r="AI119" s="77"/>
      <c r="AJ119" s="77"/>
      <c r="AK119" s="77"/>
      <c r="AL119" s="77"/>
      <c r="AM119" s="77"/>
      <c r="AN119" s="77"/>
      <c r="AO119" s="77"/>
      <c r="AP119" s="77"/>
      <c r="AQ119" s="77"/>
      <c r="AR119" s="77"/>
      <c r="AS119" s="77"/>
      <c r="AT119" s="77"/>
      <c r="AU119" s="77"/>
      <c r="AV119" s="77"/>
      <c r="AW119" s="77"/>
      <c r="AX119" s="77"/>
      <c r="AY119" s="77"/>
      <c r="AZ119" s="77"/>
      <c r="BA119" s="77"/>
      <c r="BB119" s="77"/>
      <c r="BC119" s="77"/>
      <c r="BD119" s="77"/>
      <c r="BE119" s="77"/>
      <c r="BF119" s="77"/>
      <c r="BG119" s="77"/>
      <c r="BH119" s="77"/>
    </row>
    <row r="120" spans="1:60" x14ac:dyDescent="0.25">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c r="AB120" s="77"/>
      <c r="AC120" s="77"/>
      <c r="AD120" s="77"/>
      <c r="AE120" s="77"/>
      <c r="AF120" s="77"/>
      <c r="AG120" s="77"/>
      <c r="AH120" s="77"/>
      <c r="AI120" s="77"/>
      <c r="AJ120" s="77"/>
      <c r="AK120" s="77"/>
      <c r="AL120" s="77"/>
      <c r="AM120" s="77"/>
      <c r="AN120" s="77"/>
      <c r="AO120" s="77"/>
      <c r="AP120" s="77"/>
      <c r="AQ120" s="77"/>
      <c r="AR120" s="77"/>
      <c r="AS120" s="77"/>
      <c r="AT120" s="77"/>
      <c r="AU120" s="77"/>
      <c r="AV120" s="77"/>
      <c r="AW120" s="77"/>
      <c r="AX120" s="77"/>
      <c r="AY120" s="77"/>
      <c r="AZ120" s="77"/>
      <c r="BA120" s="77"/>
      <c r="BB120" s="77"/>
      <c r="BC120" s="77"/>
      <c r="BD120" s="77"/>
      <c r="BE120" s="77"/>
      <c r="BF120" s="77"/>
      <c r="BG120" s="77"/>
      <c r="BH120" s="77"/>
    </row>
    <row r="121" spans="1:60" x14ac:dyDescent="0.25">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c r="AB121" s="77"/>
      <c r="AC121" s="77"/>
      <c r="AD121" s="77"/>
      <c r="AE121" s="77"/>
      <c r="AF121" s="77"/>
      <c r="AG121" s="77"/>
      <c r="AH121" s="77"/>
      <c r="AI121" s="77"/>
      <c r="AJ121" s="77"/>
      <c r="AK121" s="77"/>
      <c r="AL121" s="77"/>
      <c r="AM121" s="77"/>
      <c r="AN121" s="77"/>
      <c r="AO121" s="77"/>
      <c r="AP121" s="77"/>
      <c r="AQ121" s="77"/>
      <c r="AR121" s="77"/>
      <c r="AS121" s="77"/>
      <c r="AT121" s="77"/>
      <c r="AU121" s="77"/>
      <c r="AV121" s="77"/>
      <c r="AW121" s="77"/>
      <c r="AX121" s="77"/>
      <c r="AY121" s="77"/>
      <c r="AZ121" s="77"/>
      <c r="BA121" s="77"/>
      <c r="BB121" s="77"/>
      <c r="BC121" s="77"/>
      <c r="BD121" s="77"/>
      <c r="BE121" s="77"/>
      <c r="BF121" s="77"/>
      <c r="BG121" s="77"/>
      <c r="BH121" s="77"/>
    </row>
    <row r="122" spans="1:60" x14ac:dyDescent="0.25">
      <c r="A122" s="77"/>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c r="BA122" s="77"/>
      <c r="BB122" s="77"/>
      <c r="BC122" s="77"/>
      <c r="BD122" s="77"/>
      <c r="BE122" s="77"/>
      <c r="BF122" s="77"/>
      <c r="BG122" s="77"/>
      <c r="BH122" s="77"/>
    </row>
    <row r="123" spans="1:60" x14ac:dyDescent="0.25">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c r="AB123" s="77"/>
      <c r="AC123" s="77"/>
      <c r="AD123" s="77"/>
      <c r="AE123" s="77"/>
      <c r="AF123" s="77"/>
      <c r="AG123" s="77"/>
      <c r="AH123" s="77"/>
      <c r="AI123" s="77"/>
      <c r="AJ123" s="77"/>
      <c r="AK123" s="77"/>
      <c r="AL123" s="77"/>
      <c r="AM123" s="77"/>
      <c r="AN123" s="77"/>
      <c r="AO123" s="77"/>
      <c r="AP123" s="77"/>
      <c r="AQ123" s="77"/>
      <c r="AR123" s="77"/>
      <c r="AS123" s="77"/>
      <c r="AT123" s="77"/>
      <c r="AU123" s="77"/>
      <c r="AV123" s="77"/>
      <c r="AW123" s="77"/>
      <c r="AX123" s="77"/>
      <c r="AY123" s="77"/>
      <c r="AZ123" s="77"/>
      <c r="BA123" s="77"/>
      <c r="BB123" s="77"/>
      <c r="BC123" s="77"/>
      <c r="BD123" s="77"/>
      <c r="BE123" s="77"/>
      <c r="BF123" s="77"/>
      <c r="BG123" s="77"/>
      <c r="BH123" s="77"/>
    </row>
    <row r="124" spans="1:60" x14ac:dyDescent="0.25">
      <c r="A124" s="77"/>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c r="AB124" s="77"/>
      <c r="AC124" s="77"/>
      <c r="AD124" s="77"/>
      <c r="AE124" s="77"/>
      <c r="AF124" s="77"/>
      <c r="AG124" s="77"/>
      <c r="AH124" s="77"/>
      <c r="AI124" s="77"/>
      <c r="AJ124" s="77"/>
      <c r="AK124" s="77"/>
      <c r="AL124" s="77"/>
      <c r="AM124" s="77"/>
      <c r="AN124" s="77"/>
      <c r="AO124" s="77"/>
      <c r="AP124" s="77"/>
      <c r="AQ124" s="77"/>
      <c r="AR124" s="77"/>
      <c r="AS124" s="77"/>
      <c r="AT124" s="77"/>
      <c r="AU124" s="77"/>
      <c r="AV124" s="77"/>
      <c r="AW124" s="77"/>
      <c r="AX124" s="77"/>
      <c r="AY124" s="77"/>
      <c r="AZ124" s="77"/>
      <c r="BA124" s="77"/>
      <c r="BB124" s="77"/>
      <c r="BC124" s="77"/>
      <c r="BD124" s="77"/>
      <c r="BE124" s="77"/>
      <c r="BF124" s="77"/>
      <c r="BG124" s="77"/>
      <c r="BH124" s="77"/>
    </row>
    <row r="125" spans="1:60" x14ac:dyDescent="0.25">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7"/>
      <c r="AO125" s="77"/>
      <c r="AP125" s="77"/>
      <c r="AQ125" s="77"/>
      <c r="AR125" s="77"/>
      <c r="AS125" s="77"/>
      <c r="AT125" s="77"/>
      <c r="AU125" s="77"/>
      <c r="AV125" s="77"/>
      <c r="AW125" s="77"/>
      <c r="AX125" s="77"/>
      <c r="AY125" s="77"/>
      <c r="AZ125" s="77"/>
      <c r="BA125" s="77"/>
      <c r="BB125" s="77"/>
      <c r="BC125" s="77"/>
      <c r="BD125" s="77"/>
      <c r="BE125" s="77"/>
      <c r="BF125" s="77"/>
      <c r="BG125" s="77"/>
      <c r="BH125" s="77"/>
    </row>
    <row r="126" spans="1:60" x14ac:dyDescent="0.25">
      <c r="A126" s="77"/>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7"/>
      <c r="AO126" s="77"/>
      <c r="AP126" s="77"/>
      <c r="AQ126" s="77"/>
      <c r="AR126" s="77"/>
      <c r="AS126" s="77"/>
      <c r="AT126" s="77"/>
      <c r="AU126" s="77"/>
      <c r="AV126" s="77"/>
      <c r="AW126" s="77"/>
      <c r="AX126" s="77"/>
      <c r="AY126" s="77"/>
      <c r="AZ126" s="77"/>
      <c r="BA126" s="77"/>
      <c r="BB126" s="77"/>
      <c r="BC126" s="77"/>
      <c r="BD126" s="77"/>
      <c r="BE126" s="77"/>
      <c r="BF126" s="77"/>
      <c r="BG126" s="77"/>
      <c r="BH126" s="77"/>
    </row>
    <row r="127" spans="1:60" x14ac:dyDescent="0.25">
      <c r="A127" s="77"/>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77"/>
      <c r="AB127" s="77"/>
      <c r="AC127" s="77"/>
      <c r="AD127" s="77"/>
      <c r="AE127" s="77"/>
      <c r="AF127" s="77"/>
      <c r="AG127" s="77"/>
      <c r="AH127" s="77"/>
      <c r="AI127" s="77"/>
      <c r="AJ127" s="77"/>
      <c r="AK127" s="77"/>
      <c r="AL127" s="77"/>
      <c r="AM127" s="77"/>
      <c r="AN127" s="77"/>
      <c r="AO127" s="77"/>
      <c r="AP127" s="77"/>
      <c r="AQ127" s="77"/>
      <c r="AR127" s="77"/>
      <c r="AS127" s="77"/>
      <c r="AT127" s="77"/>
      <c r="AU127" s="77"/>
      <c r="AV127" s="77"/>
      <c r="AW127" s="77"/>
      <c r="AX127" s="77"/>
      <c r="AY127" s="77"/>
      <c r="AZ127" s="77"/>
      <c r="BA127" s="77"/>
      <c r="BB127" s="77"/>
      <c r="BC127" s="77"/>
      <c r="BD127" s="77"/>
      <c r="BE127" s="77"/>
      <c r="BF127" s="77"/>
      <c r="BG127" s="77"/>
      <c r="BH127" s="77"/>
    </row>
    <row r="128" spans="1:60" x14ac:dyDescent="0.25">
      <c r="A128" s="77"/>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c r="AB128" s="77"/>
      <c r="AC128" s="77"/>
      <c r="AD128" s="77"/>
      <c r="AE128" s="77"/>
      <c r="AF128" s="77"/>
      <c r="AG128" s="77"/>
      <c r="AH128" s="77"/>
      <c r="AI128" s="77"/>
      <c r="AJ128" s="77"/>
      <c r="AK128" s="77"/>
      <c r="AL128" s="77"/>
      <c r="AM128" s="77"/>
      <c r="AN128" s="77"/>
      <c r="AO128" s="77"/>
      <c r="AP128" s="77"/>
      <c r="AQ128" s="77"/>
      <c r="AR128" s="77"/>
      <c r="AS128" s="77"/>
      <c r="AT128" s="77"/>
      <c r="AU128" s="77"/>
      <c r="AV128" s="77"/>
      <c r="AW128" s="77"/>
      <c r="AX128" s="77"/>
      <c r="AY128" s="77"/>
      <c r="AZ128" s="77"/>
      <c r="BA128" s="77"/>
      <c r="BB128" s="77"/>
      <c r="BC128" s="77"/>
      <c r="BD128" s="77"/>
      <c r="BE128" s="77"/>
      <c r="BF128" s="77"/>
      <c r="BG128" s="77"/>
      <c r="BH128" s="77"/>
    </row>
    <row r="129" spans="1:60" x14ac:dyDescent="0.25">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c r="AR129" s="77"/>
      <c r="AS129" s="77"/>
      <c r="AT129" s="77"/>
      <c r="AU129" s="77"/>
      <c r="AV129" s="77"/>
      <c r="AW129" s="77"/>
      <c r="AX129" s="77"/>
      <c r="AY129" s="77"/>
      <c r="AZ129" s="77"/>
      <c r="BA129" s="77"/>
      <c r="BB129" s="77"/>
      <c r="BC129" s="77"/>
      <c r="BD129" s="77"/>
      <c r="BE129" s="77"/>
      <c r="BF129" s="77"/>
      <c r="BG129" s="77"/>
      <c r="BH129" s="77"/>
    </row>
    <row r="130" spans="1:60" x14ac:dyDescent="0.25">
      <c r="A130" s="77"/>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row>
    <row r="131" spans="1:60" x14ac:dyDescent="0.25">
      <c r="A131" s="77"/>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c r="AB131" s="77"/>
      <c r="AC131" s="77"/>
      <c r="AD131" s="77"/>
      <c r="AE131" s="77"/>
      <c r="AF131" s="77"/>
      <c r="AG131" s="77"/>
      <c r="AH131" s="77"/>
      <c r="AI131" s="77"/>
      <c r="AJ131" s="77"/>
      <c r="AK131" s="77"/>
      <c r="AL131" s="77"/>
      <c r="AM131" s="77"/>
      <c r="AN131" s="77"/>
      <c r="AO131" s="77"/>
      <c r="AP131" s="77"/>
      <c r="AQ131" s="77"/>
      <c r="AR131" s="77"/>
      <c r="AS131" s="77"/>
      <c r="AT131" s="77"/>
      <c r="AU131" s="77"/>
      <c r="AV131" s="77"/>
      <c r="AW131" s="77"/>
      <c r="AX131" s="77"/>
      <c r="AY131" s="77"/>
      <c r="AZ131" s="77"/>
      <c r="BA131" s="77"/>
      <c r="BB131" s="77"/>
      <c r="BC131" s="77"/>
      <c r="BD131" s="77"/>
      <c r="BE131" s="77"/>
      <c r="BF131" s="77"/>
      <c r="BG131" s="77"/>
      <c r="BH131" s="77"/>
    </row>
    <row r="132" spans="1:60" x14ac:dyDescent="0.25">
      <c r="A132" s="77"/>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c r="AB132" s="77"/>
      <c r="AC132" s="77"/>
      <c r="AD132" s="77"/>
      <c r="AE132" s="77"/>
      <c r="AF132" s="77"/>
      <c r="AG132" s="77"/>
      <c r="AH132" s="77"/>
      <c r="AI132" s="77"/>
      <c r="AJ132" s="77"/>
      <c r="AK132" s="77"/>
      <c r="AL132" s="77"/>
      <c r="AM132" s="77"/>
      <c r="AN132" s="77"/>
      <c r="AO132" s="77"/>
      <c r="AP132" s="77"/>
      <c r="AQ132" s="77"/>
      <c r="AR132" s="77"/>
      <c r="AS132" s="77"/>
      <c r="AT132" s="77"/>
      <c r="AU132" s="77"/>
      <c r="AV132" s="77"/>
      <c r="AW132" s="77"/>
      <c r="AX132" s="77"/>
      <c r="AY132" s="77"/>
      <c r="AZ132" s="77"/>
      <c r="BA132" s="77"/>
      <c r="BB132" s="77"/>
      <c r="BC132" s="77"/>
      <c r="BD132" s="77"/>
      <c r="BE132" s="77"/>
      <c r="BF132" s="77"/>
      <c r="BG132" s="77"/>
      <c r="BH132" s="77"/>
    </row>
    <row r="133" spans="1:60" x14ac:dyDescent="0.25">
      <c r="A133" s="77"/>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c r="AB133" s="77"/>
      <c r="AC133" s="77"/>
      <c r="AD133" s="77"/>
      <c r="AE133" s="77"/>
      <c r="AF133" s="77"/>
      <c r="AG133" s="77"/>
      <c r="AH133" s="77"/>
      <c r="AI133" s="77"/>
      <c r="AJ133" s="77"/>
      <c r="AK133" s="77"/>
      <c r="AL133" s="77"/>
      <c r="AM133" s="77"/>
      <c r="AN133" s="77"/>
      <c r="AO133" s="77"/>
      <c r="AP133" s="77"/>
      <c r="AQ133" s="77"/>
      <c r="AR133" s="77"/>
      <c r="AS133" s="77"/>
      <c r="AT133" s="77"/>
      <c r="AU133" s="77"/>
      <c r="AV133" s="77"/>
      <c r="AW133" s="77"/>
      <c r="AX133" s="77"/>
      <c r="AY133" s="77"/>
      <c r="AZ133" s="77"/>
      <c r="BA133" s="77"/>
      <c r="BB133" s="77"/>
      <c r="BC133" s="77"/>
      <c r="BD133" s="77"/>
      <c r="BE133" s="77"/>
      <c r="BF133" s="77"/>
      <c r="BG133" s="77"/>
      <c r="BH133" s="77"/>
    </row>
    <row r="134" spans="1:60" x14ac:dyDescent="0.25">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c r="BA134" s="77"/>
      <c r="BB134" s="77"/>
      <c r="BC134" s="77"/>
      <c r="BD134" s="77"/>
      <c r="BE134" s="77"/>
      <c r="BF134" s="77"/>
      <c r="BG134" s="77"/>
      <c r="BH134" s="77"/>
    </row>
    <row r="135" spans="1:60" x14ac:dyDescent="0.25">
      <c r="A135" s="77"/>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77"/>
      <c r="AM135" s="77"/>
      <c r="AN135" s="77"/>
      <c r="AO135" s="77"/>
      <c r="AP135" s="77"/>
      <c r="AQ135" s="77"/>
      <c r="AR135" s="77"/>
      <c r="AS135" s="77"/>
      <c r="AT135" s="77"/>
      <c r="AU135" s="77"/>
      <c r="AV135" s="77"/>
      <c r="AW135" s="77"/>
      <c r="AX135" s="77"/>
      <c r="AY135" s="77"/>
      <c r="AZ135" s="77"/>
      <c r="BA135" s="77"/>
      <c r="BB135" s="77"/>
      <c r="BC135" s="77"/>
      <c r="BD135" s="77"/>
      <c r="BE135" s="77"/>
      <c r="BF135" s="77"/>
      <c r="BG135" s="77"/>
      <c r="BH135" s="77"/>
    </row>
    <row r="136" spans="1:60" x14ac:dyDescent="0.25">
      <c r="A136" s="77"/>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77"/>
      <c r="AB136" s="77"/>
      <c r="AC136" s="77"/>
      <c r="AD136" s="77"/>
      <c r="AE136" s="77"/>
      <c r="AF136" s="77"/>
      <c r="AG136" s="77"/>
      <c r="AH136" s="77"/>
      <c r="AI136" s="77"/>
      <c r="AJ136" s="77"/>
      <c r="AK136" s="77"/>
      <c r="AL136" s="77"/>
      <c r="AM136" s="77"/>
      <c r="AN136" s="77"/>
      <c r="AO136" s="77"/>
      <c r="AP136" s="77"/>
      <c r="AQ136" s="77"/>
      <c r="AR136" s="77"/>
      <c r="AS136" s="77"/>
      <c r="AT136" s="77"/>
      <c r="AU136" s="77"/>
      <c r="AV136" s="77"/>
      <c r="AW136" s="77"/>
      <c r="AX136" s="77"/>
      <c r="AY136" s="77"/>
      <c r="AZ136" s="77"/>
      <c r="BA136" s="77"/>
      <c r="BB136" s="77"/>
      <c r="BC136" s="77"/>
      <c r="BD136" s="77"/>
      <c r="BE136" s="77"/>
      <c r="BF136" s="77"/>
      <c r="BG136" s="77"/>
      <c r="BH136" s="77"/>
    </row>
    <row r="137" spans="1:60" x14ac:dyDescent="0.25">
      <c r="A137" s="77"/>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A137" s="77"/>
      <c r="AB137" s="77"/>
      <c r="AC137" s="77"/>
      <c r="AD137" s="77"/>
      <c r="AE137" s="77"/>
      <c r="AF137" s="77"/>
      <c r="AG137" s="77"/>
      <c r="AH137" s="77"/>
      <c r="AI137" s="77"/>
      <c r="AJ137" s="77"/>
      <c r="AK137" s="77"/>
      <c r="AL137" s="77"/>
      <c r="AM137" s="77"/>
      <c r="AN137" s="77"/>
      <c r="AO137" s="77"/>
      <c r="AP137" s="77"/>
      <c r="AQ137" s="77"/>
      <c r="AR137" s="77"/>
      <c r="AS137" s="77"/>
      <c r="AT137" s="77"/>
      <c r="AU137" s="77"/>
      <c r="AV137" s="77"/>
      <c r="AW137" s="77"/>
      <c r="AX137" s="77"/>
      <c r="AY137" s="77"/>
      <c r="AZ137" s="77"/>
      <c r="BA137" s="77"/>
      <c r="BB137" s="77"/>
      <c r="BC137" s="77"/>
      <c r="BD137" s="77"/>
      <c r="BE137" s="77"/>
      <c r="BF137" s="77"/>
      <c r="BG137" s="77"/>
      <c r="BH137" s="77"/>
    </row>
    <row r="138" spans="1:60" x14ac:dyDescent="0.25">
      <c r="A138" s="77"/>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c r="AB138" s="77"/>
      <c r="AC138" s="77"/>
      <c r="AD138" s="77"/>
      <c r="AE138" s="77"/>
      <c r="AF138" s="77"/>
      <c r="AG138" s="77"/>
      <c r="AH138" s="77"/>
      <c r="AI138" s="77"/>
      <c r="AJ138" s="77"/>
      <c r="AK138" s="77"/>
      <c r="AL138" s="77"/>
      <c r="AM138" s="77"/>
      <c r="AN138" s="77"/>
      <c r="AO138" s="77"/>
      <c r="AP138" s="77"/>
      <c r="AQ138" s="77"/>
      <c r="AR138" s="77"/>
      <c r="AS138" s="77"/>
      <c r="AT138" s="77"/>
      <c r="AU138" s="77"/>
      <c r="AV138" s="77"/>
      <c r="AW138" s="77"/>
      <c r="AX138" s="77"/>
      <c r="AY138" s="77"/>
      <c r="AZ138" s="77"/>
      <c r="BA138" s="77"/>
      <c r="BB138" s="77"/>
      <c r="BC138" s="77"/>
      <c r="BD138" s="77"/>
      <c r="BE138" s="77"/>
      <c r="BF138" s="77"/>
      <c r="BG138" s="77"/>
      <c r="BH138" s="77"/>
    </row>
    <row r="139" spans="1:60" x14ac:dyDescent="0.25">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c r="AB139" s="77"/>
      <c r="AC139" s="77"/>
      <c r="AD139" s="77"/>
      <c r="AE139" s="77"/>
      <c r="AF139" s="77"/>
      <c r="AG139" s="77"/>
      <c r="AH139" s="77"/>
      <c r="AI139" s="77"/>
      <c r="AJ139" s="77"/>
      <c r="AK139" s="77"/>
      <c r="AL139" s="77"/>
      <c r="AM139" s="77"/>
      <c r="AN139" s="77"/>
      <c r="AO139" s="77"/>
      <c r="AP139" s="77"/>
      <c r="AQ139" s="77"/>
      <c r="AR139" s="77"/>
      <c r="AS139" s="77"/>
      <c r="AT139" s="77"/>
      <c r="AU139" s="77"/>
      <c r="AV139" s="77"/>
      <c r="AW139" s="77"/>
      <c r="AX139" s="77"/>
      <c r="AY139" s="77"/>
      <c r="AZ139" s="77"/>
      <c r="BA139" s="77"/>
      <c r="BB139" s="77"/>
      <c r="BC139" s="77"/>
      <c r="BD139" s="77"/>
      <c r="BE139" s="77"/>
      <c r="BF139" s="77"/>
      <c r="BG139" s="77"/>
      <c r="BH139" s="77"/>
    </row>
    <row r="140" spans="1:60" x14ac:dyDescent="0.25">
      <c r="A140" s="77"/>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7"/>
      <c r="AZ140" s="77"/>
      <c r="BA140" s="77"/>
      <c r="BB140" s="77"/>
      <c r="BC140" s="77"/>
      <c r="BD140" s="77"/>
      <c r="BE140" s="77"/>
      <c r="BF140" s="77"/>
      <c r="BG140" s="77"/>
      <c r="BH140" s="77"/>
    </row>
    <row r="141" spans="1:60" x14ac:dyDescent="0.25">
      <c r="A141" s="77"/>
      <c r="B141" s="77"/>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c r="AA141" s="77"/>
      <c r="AB141" s="77"/>
      <c r="AC141" s="77"/>
      <c r="AD141" s="77"/>
      <c r="AE141" s="77"/>
      <c r="AF141" s="77"/>
      <c r="AG141" s="77"/>
      <c r="AH141" s="77"/>
      <c r="AI141" s="77"/>
      <c r="AJ141" s="77"/>
      <c r="AK141" s="77"/>
      <c r="AL141" s="77"/>
      <c r="AM141" s="77"/>
      <c r="AN141" s="77"/>
      <c r="AO141" s="77"/>
      <c r="AP141" s="77"/>
      <c r="AQ141" s="77"/>
      <c r="AR141" s="77"/>
      <c r="AS141" s="77"/>
      <c r="AT141" s="77"/>
      <c r="AU141" s="77"/>
      <c r="AV141" s="77"/>
      <c r="AW141" s="77"/>
      <c r="AX141" s="77"/>
      <c r="AY141" s="77"/>
      <c r="AZ141" s="77"/>
      <c r="BA141" s="77"/>
      <c r="BB141" s="77"/>
      <c r="BC141" s="77"/>
      <c r="BD141" s="77"/>
      <c r="BE141" s="77"/>
      <c r="BF141" s="77"/>
      <c r="BG141" s="77"/>
      <c r="BH141" s="77"/>
    </row>
    <row r="142" spans="1:60" x14ac:dyDescent="0.25">
      <c r="A142" s="77"/>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c r="AA142" s="77"/>
      <c r="AB142" s="77"/>
      <c r="AC142" s="77"/>
      <c r="AD142" s="77"/>
      <c r="AE142" s="77"/>
      <c r="AF142" s="77"/>
      <c r="AG142" s="77"/>
      <c r="AH142" s="77"/>
      <c r="AI142" s="77"/>
      <c r="AJ142" s="77"/>
      <c r="AK142" s="77"/>
      <c r="AL142" s="77"/>
      <c r="AM142" s="77"/>
      <c r="AN142" s="77"/>
      <c r="AO142" s="77"/>
      <c r="AP142" s="77"/>
      <c r="AQ142" s="77"/>
      <c r="AR142" s="77"/>
      <c r="AS142" s="77"/>
      <c r="AT142" s="77"/>
      <c r="AU142" s="77"/>
      <c r="AV142" s="77"/>
      <c r="AW142" s="77"/>
      <c r="AX142" s="77"/>
      <c r="AY142" s="77"/>
      <c r="AZ142" s="77"/>
      <c r="BA142" s="77"/>
      <c r="BB142" s="77"/>
      <c r="BC142" s="77"/>
      <c r="BD142" s="77"/>
      <c r="BE142" s="77"/>
      <c r="BF142" s="77"/>
      <c r="BG142" s="77"/>
      <c r="BH142" s="77"/>
    </row>
    <row r="143" spans="1:60" x14ac:dyDescent="0.25">
      <c r="A143" s="77"/>
      <c r="B143" s="77"/>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c r="AA143" s="77"/>
      <c r="AB143" s="77"/>
      <c r="AC143" s="77"/>
      <c r="AD143" s="77"/>
      <c r="AE143" s="77"/>
      <c r="AF143" s="77"/>
      <c r="AG143" s="77"/>
      <c r="AH143" s="77"/>
      <c r="AI143" s="77"/>
      <c r="AJ143" s="77"/>
      <c r="AK143" s="77"/>
      <c r="AL143" s="77"/>
      <c r="AM143" s="77"/>
      <c r="AN143" s="77"/>
      <c r="AO143" s="77"/>
      <c r="AP143" s="77"/>
      <c r="AQ143" s="77"/>
      <c r="AR143" s="77"/>
      <c r="AS143" s="77"/>
      <c r="AT143" s="77"/>
      <c r="AU143" s="77"/>
      <c r="AV143" s="77"/>
      <c r="AW143" s="77"/>
      <c r="AX143" s="77"/>
      <c r="AY143" s="77"/>
      <c r="AZ143" s="77"/>
      <c r="BA143" s="77"/>
      <c r="BB143" s="77"/>
      <c r="BC143" s="77"/>
      <c r="BD143" s="77"/>
      <c r="BE143" s="77"/>
      <c r="BF143" s="77"/>
      <c r="BG143" s="77"/>
      <c r="BH143" s="77"/>
    </row>
    <row r="144" spans="1:60" x14ac:dyDescent="0.25">
      <c r="A144" s="77"/>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c r="AB144" s="77"/>
      <c r="AC144" s="77"/>
      <c r="AD144" s="77"/>
      <c r="AE144" s="77"/>
      <c r="AF144" s="77"/>
      <c r="AG144" s="77"/>
      <c r="AH144" s="77"/>
      <c r="AI144" s="77"/>
      <c r="AJ144" s="77"/>
      <c r="AK144" s="77"/>
      <c r="AL144" s="77"/>
      <c r="AM144" s="77"/>
      <c r="AN144" s="77"/>
      <c r="AO144" s="77"/>
      <c r="AP144" s="77"/>
      <c r="AQ144" s="77"/>
      <c r="AR144" s="77"/>
      <c r="AS144" s="77"/>
      <c r="AT144" s="77"/>
      <c r="AU144" s="77"/>
      <c r="AV144" s="77"/>
      <c r="AW144" s="77"/>
      <c r="AX144" s="77"/>
      <c r="AY144" s="77"/>
      <c r="AZ144" s="77"/>
      <c r="BA144" s="77"/>
      <c r="BB144" s="77"/>
      <c r="BC144" s="77"/>
      <c r="BD144" s="77"/>
      <c r="BE144" s="77"/>
      <c r="BF144" s="77"/>
      <c r="BG144" s="77"/>
      <c r="BH144" s="77"/>
    </row>
    <row r="145" spans="1:60" x14ac:dyDescent="0.25">
      <c r="A145" s="77"/>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c r="AV145" s="77"/>
      <c r="AW145" s="77"/>
      <c r="AX145" s="77"/>
      <c r="AY145" s="77"/>
      <c r="AZ145" s="77"/>
      <c r="BA145" s="77"/>
      <c r="BB145" s="77"/>
      <c r="BC145" s="77"/>
      <c r="BD145" s="77"/>
      <c r="BE145" s="77"/>
      <c r="BF145" s="77"/>
      <c r="BG145" s="77"/>
      <c r="BH145" s="77"/>
    </row>
    <row r="146" spans="1:60" x14ac:dyDescent="0.25">
      <c r="A146" s="77"/>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c r="AD146" s="77"/>
      <c r="AE146" s="77"/>
      <c r="AF146" s="77"/>
      <c r="AG146" s="77"/>
      <c r="AH146" s="77"/>
      <c r="AI146" s="77"/>
      <c r="AJ146" s="77"/>
      <c r="AK146" s="77"/>
      <c r="AL146" s="77"/>
      <c r="AM146" s="77"/>
      <c r="AN146" s="77"/>
      <c r="AO146" s="77"/>
      <c r="AP146" s="77"/>
      <c r="AQ146" s="77"/>
      <c r="AR146" s="77"/>
      <c r="AS146" s="77"/>
      <c r="AT146" s="77"/>
      <c r="AU146" s="77"/>
      <c r="AV146" s="77"/>
      <c r="AW146" s="77"/>
      <c r="AX146" s="77"/>
      <c r="AY146" s="77"/>
      <c r="AZ146" s="77"/>
      <c r="BA146" s="77"/>
      <c r="BB146" s="77"/>
      <c r="BC146" s="77"/>
      <c r="BD146" s="77"/>
      <c r="BE146" s="77"/>
      <c r="BF146" s="77"/>
      <c r="BG146" s="77"/>
      <c r="BH146" s="77"/>
    </row>
    <row r="147" spans="1:60" x14ac:dyDescent="0.25">
      <c r="A147" s="77"/>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c r="AB147" s="77"/>
      <c r="AC147" s="77"/>
      <c r="AD147" s="77"/>
      <c r="AE147" s="77"/>
      <c r="AF147" s="77"/>
      <c r="AG147" s="77"/>
      <c r="AH147" s="77"/>
      <c r="AI147" s="77"/>
      <c r="AJ147" s="77"/>
      <c r="AK147" s="77"/>
      <c r="AL147" s="77"/>
      <c r="AM147" s="77"/>
      <c r="AN147" s="77"/>
      <c r="AO147" s="77"/>
      <c r="AP147" s="77"/>
      <c r="AQ147" s="77"/>
      <c r="AR147" s="77"/>
      <c r="AS147" s="77"/>
      <c r="AT147" s="77"/>
      <c r="AU147" s="77"/>
      <c r="AV147" s="77"/>
      <c r="AW147" s="77"/>
      <c r="AX147" s="77"/>
      <c r="AY147" s="77"/>
      <c r="AZ147" s="77"/>
      <c r="BA147" s="77"/>
      <c r="BB147" s="77"/>
      <c r="BC147" s="77"/>
      <c r="BD147" s="77"/>
      <c r="BE147" s="77"/>
      <c r="BF147" s="77"/>
      <c r="BG147" s="77"/>
      <c r="BH147" s="77"/>
    </row>
    <row r="148" spans="1:60" x14ac:dyDescent="0.25">
      <c r="A148" s="77"/>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c r="AB148" s="77"/>
      <c r="AC148" s="77"/>
      <c r="AD148" s="77"/>
      <c r="AE148" s="77"/>
      <c r="AF148" s="77"/>
      <c r="AG148" s="77"/>
      <c r="AH148" s="77"/>
      <c r="AI148" s="77"/>
      <c r="AJ148" s="77"/>
      <c r="AK148" s="77"/>
      <c r="AL148" s="77"/>
      <c r="AM148" s="77"/>
      <c r="AN148" s="77"/>
      <c r="AO148" s="77"/>
      <c r="AP148" s="77"/>
      <c r="AQ148" s="77"/>
      <c r="AR148" s="77"/>
      <c r="AS148" s="77"/>
      <c r="AT148" s="77"/>
      <c r="AU148" s="77"/>
      <c r="AV148" s="77"/>
      <c r="AW148" s="77"/>
      <c r="AX148" s="77"/>
      <c r="AY148" s="77"/>
      <c r="AZ148" s="77"/>
      <c r="BA148" s="77"/>
      <c r="BB148" s="77"/>
      <c r="BC148" s="77"/>
      <c r="BD148" s="77"/>
      <c r="BE148" s="77"/>
      <c r="BF148" s="77"/>
      <c r="BG148" s="77"/>
      <c r="BH148" s="77"/>
    </row>
    <row r="149" spans="1:60" x14ac:dyDescent="0.25">
      <c r="A149" s="77"/>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c r="AB149" s="77"/>
      <c r="AC149" s="77"/>
      <c r="AD149" s="77"/>
      <c r="AE149" s="77"/>
      <c r="AF149" s="77"/>
      <c r="AG149" s="77"/>
      <c r="AH149" s="77"/>
      <c r="AI149" s="77"/>
      <c r="AJ149" s="77"/>
      <c r="AK149" s="77"/>
      <c r="AL149" s="77"/>
      <c r="AM149" s="77"/>
      <c r="AN149" s="77"/>
      <c r="AO149" s="77"/>
      <c r="AP149" s="77"/>
      <c r="AQ149" s="77"/>
      <c r="AR149" s="77"/>
      <c r="AS149" s="77"/>
      <c r="AT149" s="77"/>
      <c r="AU149" s="77"/>
      <c r="AV149" s="77"/>
      <c r="AW149" s="77"/>
      <c r="AX149" s="77"/>
      <c r="AY149" s="77"/>
      <c r="AZ149" s="77"/>
      <c r="BA149" s="77"/>
      <c r="BB149" s="77"/>
      <c r="BC149" s="77"/>
      <c r="BD149" s="77"/>
      <c r="BE149" s="77"/>
      <c r="BF149" s="77"/>
      <c r="BG149" s="77"/>
      <c r="BH149" s="77"/>
    </row>
    <row r="150" spans="1:60" x14ac:dyDescent="0.25">
      <c r="A150" s="77"/>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c r="AB150" s="77"/>
      <c r="AC150" s="77"/>
      <c r="AD150" s="77"/>
      <c r="AE150" s="77"/>
      <c r="AF150" s="77"/>
      <c r="AG150" s="77"/>
      <c r="AH150" s="77"/>
      <c r="AI150" s="77"/>
      <c r="AJ150" s="77"/>
      <c r="AK150" s="77"/>
      <c r="AL150" s="77"/>
      <c r="AM150" s="77"/>
      <c r="AN150" s="77"/>
      <c r="AO150" s="77"/>
      <c r="AP150" s="77"/>
      <c r="AQ150" s="77"/>
      <c r="AR150" s="77"/>
      <c r="AS150" s="77"/>
      <c r="AT150" s="77"/>
      <c r="AU150" s="77"/>
      <c r="AV150" s="77"/>
      <c r="AW150" s="77"/>
      <c r="AX150" s="77"/>
      <c r="AY150" s="77"/>
      <c r="AZ150" s="77"/>
      <c r="BA150" s="77"/>
      <c r="BB150" s="77"/>
      <c r="BC150" s="77"/>
      <c r="BD150" s="77"/>
      <c r="BE150" s="77"/>
      <c r="BF150" s="77"/>
      <c r="BG150" s="77"/>
      <c r="BH150" s="77"/>
    </row>
    <row r="151" spans="1:60" x14ac:dyDescent="0.25">
      <c r="A151" s="77"/>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77"/>
      <c r="AM151" s="77"/>
      <c r="AN151" s="77"/>
      <c r="AO151" s="77"/>
      <c r="AP151" s="77"/>
      <c r="AQ151" s="77"/>
      <c r="AR151" s="77"/>
      <c r="AS151" s="77"/>
      <c r="AT151" s="77"/>
      <c r="AU151" s="77"/>
      <c r="AV151" s="77"/>
      <c r="AW151" s="77"/>
      <c r="AX151" s="77"/>
      <c r="AY151" s="77"/>
      <c r="AZ151" s="77"/>
      <c r="BA151" s="77"/>
      <c r="BB151" s="77"/>
      <c r="BC151" s="77"/>
      <c r="BD151" s="77"/>
      <c r="BE151" s="77"/>
      <c r="BF151" s="77"/>
      <c r="BG151" s="77"/>
      <c r="BH151" s="77"/>
    </row>
    <row r="152" spans="1:60" x14ac:dyDescent="0.25">
      <c r="A152" s="77"/>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c r="AB152" s="77"/>
      <c r="AC152" s="77"/>
      <c r="AD152" s="77"/>
      <c r="AE152" s="77"/>
      <c r="AF152" s="77"/>
      <c r="AG152" s="77"/>
      <c r="AH152" s="77"/>
      <c r="AI152" s="77"/>
      <c r="AJ152" s="77"/>
      <c r="AK152" s="77"/>
      <c r="AL152" s="77"/>
      <c r="AM152" s="77"/>
      <c r="AN152" s="77"/>
      <c r="AO152" s="77"/>
      <c r="AP152" s="77"/>
      <c r="AQ152" s="77"/>
      <c r="AR152" s="77"/>
      <c r="AS152" s="77"/>
      <c r="AT152" s="77"/>
      <c r="AU152" s="77"/>
      <c r="AV152" s="77"/>
      <c r="AW152" s="77"/>
      <c r="AX152" s="77"/>
      <c r="AY152" s="77"/>
      <c r="AZ152" s="77"/>
      <c r="BA152" s="77"/>
      <c r="BB152" s="77"/>
      <c r="BC152" s="77"/>
      <c r="BD152" s="77"/>
      <c r="BE152" s="77"/>
      <c r="BF152" s="77"/>
      <c r="BG152" s="77"/>
      <c r="BH152" s="77"/>
    </row>
    <row r="153" spans="1:60" x14ac:dyDescent="0.25">
      <c r="A153" s="77"/>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c r="AB153" s="77"/>
      <c r="AC153" s="77"/>
      <c r="AD153" s="77"/>
      <c r="AE153" s="77"/>
      <c r="AF153" s="77"/>
      <c r="AG153" s="77"/>
      <c r="AH153" s="77"/>
      <c r="AI153" s="77"/>
      <c r="AJ153" s="77"/>
      <c r="AK153" s="77"/>
      <c r="AL153" s="77"/>
      <c r="AM153" s="77"/>
      <c r="AN153" s="77"/>
      <c r="AO153" s="77"/>
      <c r="AP153" s="77"/>
      <c r="AQ153" s="77"/>
      <c r="AR153" s="77"/>
      <c r="AS153" s="77"/>
      <c r="AT153" s="77"/>
      <c r="AU153" s="77"/>
      <c r="AV153" s="77"/>
      <c r="AW153" s="77"/>
      <c r="AX153" s="77"/>
      <c r="AY153" s="77"/>
      <c r="AZ153" s="77"/>
      <c r="BA153" s="77"/>
      <c r="BB153" s="77"/>
      <c r="BC153" s="77"/>
      <c r="BD153" s="77"/>
      <c r="BE153" s="77"/>
      <c r="BF153" s="77"/>
      <c r="BG153" s="77"/>
      <c r="BH153" s="77"/>
    </row>
    <row r="154" spans="1:60" x14ac:dyDescent="0.25">
      <c r="A154" s="77"/>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c r="AB154" s="77"/>
      <c r="AC154" s="77"/>
      <c r="AD154" s="77"/>
      <c r="AE154" s="77"/>
      <c r="AF154" s="77"/>
      <c r="AG154" s="77"/>
      <c r="AH154" s="77"/>
      <c r="AI154" s="77"/>
      <c r="AJ154" s="77"/>
      <c r="AK154" s="77"/>
      <c r="AL154" s="77"/>
      <c r="AM154" s="77"/>
      <c r="AN154" s="77"/>
      <c r="AO154" s="77"/>
      <c r="AP154" s="77"/>
      <c r="AQ154" s="77"/>
      <c r="AR154" s="77"/>
      <c r="AS154" s="77"/>
      <c r="AT154" s="77"/>
      <c r="AU154" s="77"/>
      <c r="AV154" s="77"/>
      <c r="AW154" s="77"/>
      <c r="AX154" s="77"/>
      <c r="AY154" s="77"/>
      <c r="AZ154" s="77"/>
      <c r="BA154" s="77"/>
      <c r="BB154" s="77"/>
      <c r="BC154" s="77"/>
      <c r="BD154" s="77"/>
      <c r="BE154" s="77"/>
      <c r="BF154" s="77"/>
      <c r="BG154" s="77"/>
      <c r="BH154" s="77"/>
    </row>
    <row r="155" spans="1:60" x14ac:dyDescent="0.25">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c r="AT155" s="77"/>
      <c r="AU155" s="77"/>
      <c r="AV155" s="77"/>
      <c r="AW155" s="77"/>
      <c r="AX155" s="77"/>
      <c r="AY155" s="77"/>
      <c r="AZ155" s="77"/>
      <c r="BA155" s="77"/>
      <c r="BB155" s="77"/>
      <c r="BC155" s="77"/>
      <c r="BD155" s="77"/>
      <c r="BE155" s="77"/>
      <c r="BF155" s="77"/>
      <c r="BG155" s="77"/>
      <c r="BH155" s="77"/>
    </row>
    <row r="156" spans="1:60" x14ac:dyDescent="0.25">
      <c r="A156" s="77"/>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c r="AJ156" s="77"/>
      <c r="AK156" s="77"/>
      <c r="AL156" s="77"/>
      <c r="AM156" s="77"/>
      <c r="AN156" s="77"/>
      <c r="AO156" s="77"/>
      <c r="AP156" s="77"/>
      <c r="AQ156" s="77"/>
      <c r="AR156" s="77"/>
      <c r="AS156" s="77"/>
      <c r="AT156" s="77"/>
      <c r="AU156" s="77"/>
      <c r="AV156" s="77"/>
      <c r="AW156" s="77"/>
      <c r="AX156" s="77"/>
      <c r="AY156" s="77"/>
      <c r="AZ156" s="77"/>
      <c r="BA156" s="77"/>
      <c r="BB156" s="77"/>
      <c r="BC156" s="77"/>
      <c r="BD156" s="77"/>
      <c r="BE156" s="77"/>
      <c r="BF156" s="77"/>
      <c r="BG156" s="77"/>
      <c r="BH156" s="77"/>
    </row>
    <row r="157" spans="1:60" x14ac:dyDescent="0.25">
      <c r="A157" s="77"/>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c r="AE157" s="77"/>
      <c r="AF157" s="77"/>
      <c r="AG157" s="77"/>
      <c r="AH157" s="77"/>
      <c r="AI157" s="77"/>
      <c r="AJ157" s="77"/>
      <c r="AK157" s="77"/>
      <c r="AL157" s="77"/>
      <c r="AM157" s="77"/>
      <c r="AN157" s="77"/>
      <c r="AO157" s="77"/>
      <c r="AP157" s="77"/>
      <c r="AQ157" s="77"/>
      <c r="AR157" s="77"/>
      <c r="AS157" s="77"/>
      <c r="AT157" s="77"/>
      <c r="AU157" s="77"/>
      <c r="AV157" s="77"/>
      <c r="AW157" s="77"/>
      <c r="AX157" s="77"/>
      <c r="AY157" s="77"/>
      <c r="AZ157" s="77"/>
      <c r="BA157" s="77"/>
      <c r="BB157" s="77"/>
      <c r="BC157" s="77"/>
      <c r="BD157" s="77"/>
      <c r="BE157" s="77"/>
      <c r="BF157" s="77"/>
      <c r="BG157" s="77"/>
      <c r="BH157" s="77"/>
    </row>
    <row r="158" spans="1:60" x14ac:dyDescent="0.25">
      <c r="A158" s="77"/>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c r="AB158" s="77"/>
      <c r="AC158" s="77"/>
      <c r="AD158" s="77"/>
      <c r="AE158" s="77"/>
      <c r="AF158" s="77"/>
      <c r="AG158" s="77"/>
      <c r="AH158" s="77"/>
      <c r="AI158" s="77"/>
      <c r="AJ158" s="77"/>
      <c r="AK158" s="77"/>
      <c r="AL158" s="77"/>
      <c r="AM158" s="77"/>
      <c r="AN158" s="77"/>
      <c r="AO158" s="77"/>
      <c r="AP158" s="77"/>
      <c r="AQ158" s="77"/>
      <c r="AR158" s="77"/>
      <c r="AS158" s="77"/>
      <c r="AT158" s="77"/>
      <c r="AU158" s="77"/>
      <c r="AV158" s="77"/>
      <c r="AW158" s="77"/>
      <c r="AX158" s="77"/>
      <c r="AY158" s="77"/>
      <c r="AZ158" s="77"/>
      <c r="BA158" s="77"/>
      <c r="BB158" s="77"/>
      <c r="BC158" s="77"/>
      <c r="BD158" s="77"/>
      <c r="BE158" s="77"/>
      <c r="BF158" s="77"/>
      <c r="BG158" s="77"/>
      <c r="BH158" s="77"/>
    </row>
    <row r="159" spans="1:60" x14ac:dyDescent="0.25">
      <c r="A159" s="77"/>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77"/>
      <c r="AS159" s="77"/>
      <c r="AT159" s="77"/>
      <c r="AU159" s="77"/>
      <c r="AV159" s="77"/>
      <c r="AW159" s="77"/>
      <c r="AX159" s="77"/>
      <c r="AY159" s="77"/>
      <c r="AZ159" s="77"/>
      <c r="BA159" s="77"/>
      <c r="BB159" s="77"/>
      <c r="BC159" s="77"/>
      <c r="BD159" s="77"/>
      <c r="BE159" s="77"/>
      <c r="BF159" s="77"/>
      <c r="BG159" s="77"/>
      <c r="BH159" s="77"/>
    </row>
    <row r="160" spans="1:60" x14ac:dyDescent="0.25">
      <c r="A160" s="77"/>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c r="AB160" s="77"/>
      <c r="AC160" s="77"/>
      <c r="AD160" s="77"/>
      <c r="AE160" s="77"/>
      <c r="AF160" s="77"/>
      <c r="AG160" s="77"/>
      <c r="AH160" s="77"/>
      <c r="AI160" s="77"/>
      <c r="AJ160" s="77"/>
      <c r="AK160" s="77"/>
      <c r="AL160" s="77"/>
      <c r="AM160" s="77"/>
      <c r="AN160" s="77"/>
      <c r="AO160" s="77"/>
      <c r="AP160" s="77"/>
      <c r="AQ160" s="77"/>
      <c r="AR160" s="77"/>
      <c r="AS160" s="77"/>
      <c r="AT160" s="77"/>
      <c r="AU160" s="77"/>
      <c r="AV160" s="77"/>
      <c r="AW160" s="77"/>
      <c r="AX160" s="77"/>
      <c r="AY160" s="77"/>
      <c r="AZ160" s="77"/>
      <c r="BA160" s="77"/>
      <c r="BB160" s="77"/>
      <c r="BC160" s="77"/>
      <c r="BD160" s="77"/>
      <c r="BE160" s="77"/>
      <c r="BF160" s="77"/>
      <c r="BG160" s="77"/>
      <c r="BH160" s="77"/>
    </row>
    <row r="161" spans="1:60" x14ac:dyDescent="0.25">
      <c r="A161" s="77"/>
      <c r="B161" s="77"/>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c r="AA161" s="77"/>
      <c r="AB161" s="77"/>
      <c r="AC161" s="77"/>
      <c r="AD161" s="77"/>
      <c r="AE161" s="77"/>
      <c r="AF161" s="77"/>
      <c r="AG161" s="77"/>
      <c r="AH161" s="77"/>
      <c r="AI161" s="77"/>
      <c r="AJ161" s="77"/>
      <c r="AK161" s="77"/>
      <c r="AL161" s="77"/>
      <c r="AM161" s="77"/>
      <c r="AN161" s="77"/>
      <c r="AO161" s="77"/>
      <c r="AP161" s="77"/>
      <c r="AQ161" s="77"/>
      <c r="AR161" s="77"/>
      <c r="AS161" s="77"/>
      <c r="AT161" s="77"/>
      <c r="AU161" s="77"/>
      <c r="AV161" s="77"/>
      <c r="AW161" s="77"/>
      <c r="AX161" s="77"/>
      <c r="AY161" s="77"/>
      <c r="AZ161" s="77"/>
      <c r="BA161" s="77"/>
      <c r="BB161" s="77"/>
      <c r="BC161" s="77"/>
      <c r="BD161" s="77"/>
      <c r="BE161" s="77"/>
      <c r="BF161" s="77"/>
      <c r="BG161" s="77"/>
      <c r="BH161" s="77"/>
    </row>
    <row r="162" spans="1:60" x14ac:dyDescent="0.25">
      <c r="A162" s="77"/>
      <c r="B162" s="77"/>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c r="AB162" s="77"/>
      <c r="AC162" s="77"/>
      <c r="AD162" s="77"/>
      <c r="AE162" s="77"/>
      <c r="AF162" s="77"/>
      <c r="AG162" s="77"/>
      <c r="AH162" s="77"/>
      <c r="AI162" s="77"/>
      <c r="AJ162" s="77"/>
      <c r="AK162" s="77"/>
      <c r="AL162" s="77"/>
      <c r="AM162" s="77"/>
      <c r="AN162" s="77"/>
      <c r="AO162" s="77"/>
      <c r="AP162" s="77"/>
      <c r="AQ162" s="77"/>
      <c r="AR162" s="77"/>
      <c r="AS162" s="77"/>
      <c r="AT162" s="77"/>
      <c r="AU162" s="77"/>
      <c r="AV162" s="77"/>
      <c r="AW162" s="77"/>
      <c r="AX162" s="77"/>
      <c r="AY162" s="77"/>
      <c r="AZ162" s="77"/>
      <c r="BA162" s="77"/>
      <c r="BB162" s="77"/>
      <c r="BC162" s="77"/>
      <c r="BD162" s="77"/>
      <c r="BE162" s="77"/>
      <c r="BF162" s="77"/>
      <c r="BG162" s="77"/>
      <c r="BH162" s="77"/>
    </row>
    <row r="163" spans="1:60" x14ac:dyDescent="0.25">
      <c r="A163" s="77"/>
      <c r="B163" s="77"/>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c r="AA163" s="77"/>
      <c r="AB163" s="77"/>
      <c r="AC163" s="77"/>
      <c r="AD163" s="77"/>
      <c r="AE163" s="77"/>
      <c r="AF163" s="77"/>
      <c r="AG163" s="77"/>
      <c r="AH163" s="77"/>
      <c r="AI163" s="77"/>
      <c r="AJ163" s="77"/>
      <c r="AK163" s="77"/>
      <c r="AL163" s="77"/>
      <c r="AM163" s="77"/>
      <c r="AN163" s="77"/>
      <c r="AO163" s="77"/>
      <c r="AP163" s="77"/>
      <c r="AQ163" s="77"/>
      <c r="AR163" s="77"/>
      <c r="AS163" s="77"/>
      <c r="AT163" s="77"/>
      <c r="AU163" s="77"/>
      <c r="AV163" s="77"/>
      <c r="AW163" s="77"/>
      <c r="AX163" s="77"/>
      <c r="AY163" s="77"/>
      <c r="AZ163" s="77"/>
      <c r="BA163" s="77"/>
      <c r="BB163" s="77"/>
      <c r="BC163" s="77"/>
      <c r="BD163" s="77"/>
      <c r="BE163" s="77"/>
      <c r="BF163" s="77"/>
      <c r="BG163" s="77"/>
      <c r="BH163" s="77"/>
    </row>
    <row r="164" spans="1:60" x14ac:dyDescent="0.25">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c r="AQ164" s="77"/>
      <c r="AR164" s="77"/>
      <c r="AS164" s="77"/>
      <c r="AT164" s="77"/>
      <c r="AU164" s="77"/>
      <c r="AV164" s="77"/>
      <c r="AW164" s="77"/>
      <c r="AX164" s="77"/>
      <c r="AY164" s="77"/>
      <c r="AZ164" s="77"/>
      <c r="BA164" s="77"/>
      <c r="BB164" s="77"/>
      <c r="BC164" s="77"/>
      <c r="BD164" s="77"/>
      <c r="BE164" s="77"/>
      <c r="BF164" s="77"/>
      <c r="BG164" s="77"/>
      <c r="BH164" s="77"/>
    </row>
    <row r="165" spans="1:60" x14ac:dyDescent="0.25">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c r="AJ165" s="77"/>
      <c r="AK165" s="77"/>
      <c r="AL165" s="77"/>
      <c r="AM165" s="77"/>
      <c r="AN165" s="77"/>
      <c r="AO165" s="77"/>
      <c r="AP165" s="77"/>
      <c r="AQ165" s="77"/>
      <c r="AR165" s="77"/>
      <c r="AS165" s="77"/>
      <c r="AT165" s="77"/>
      <c r="AU165" s="77"/>
      <c r="AV165" s="77"/>
      <c r="AW165" s="77"/>
      <c r="AX165" s="77"/>
      <c r="AY165" s="77"/>
      <c r="AZ165" s="77"/>
      <c r="BA165" s="77"/>
      <c r="BB165" s="77"/>
      <c r="BC165" s="77"/>
      <c r="BD165" s="77"/>
      <c r="BE165" s="77"/>
      <c r="BF165" s="77"/>
      <c r="BG165" s="77"/>
      <c r="BH165" s="77"/>
    </row>
    <row r="166" spans="1:60" x14ac:dyDescent="0.25">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c r="AB166" s="77"/>
      <c r="AC166" s="77"/>
      <c r="AD166" s="77"/>
      <c r="AE166" s="77"/>
      <c r="AF166" s="77"/>
      <c r="AG166" s="77"/>
      <c r="AH166" s="77"/>
      <c r="AI166" s="77"/>
      <c r="AJ166" s="77"/>
      <c r="AK166" s="77"/>
      <c r="AL166" s="77"/>
      <c r="AM166" s="77"/>
      <c r="AN166" s="77"/>
      <c r="AO166" s="77"/>
      <c r="AP166" s="77"/>
      <c r="AQ166" s="77"/>
      <c r="AR166" s="77"/>
      <c r="AS166" s="77"/>
      <c r="AT166" s="77"/>
      <c r="AU166" s="77"/>
      <c r="AV166" s="77"/>
      <c r="AW166" s="77"/>
      <c r="AX166" s="77"/>
      <c r="AY166" s="77"/>
      <c r="AZ166" s="77"/>
      <c r="BA166" s="77"/>
      <c r="BB166" s="77"/>
      <c r="BC166" s="77"/>
      <c r="BD166" s="77"/>
      <c r="BE166" s="77"/>
      <c r="BF166" s="77"/>
      <c r="BG166" s="77"/>
      <c r="BH166" s="77"/>
    </row>
    <row r="167" spans="1:60" x14ac:dyDescent="0.25">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c r="AB167" s="77"/>
      <c r="AC167" s="77"/>
      <c r="AD167" s="77"/>
      <c r="AE167" s="77"/>
      <c r="AF167" s="77"/>
      <c r="AG167" s="77"/>
      <c r="AH167" s="77"/>
      <c r="AI167" s="77"/>
      <c r="AJ167" s="77"/>
      <c r="AK167" s="77"/>
      <c r="AL167" s="77"/>
      <c r="AM167" s="77"/>
      <c r="AN167" s="77"/>
      <c r="AO167" s="77"/>
      <c r="AP167" s="77"/>
      <c r="AQ167" s="77"/>
      <c r="AR167" s="77"/>
      <c r="AS167" s="77"/>
      <c r="AT167" s="77"/>
      <c r="AU167" s="77"/>
      <c r="AV167" s="77"/>
      <c r="AW167" s="77"/>
      <c r="AX167" s="77"/>
      <c r="AY167" s="77"/>
      <c r="AZ167" s="77"/>
      <c r="BA167" s="77"/>
      <c r="BB167" s="77"/>
      <c r="BC167" s="77"/>
      <c r="BD167" s="77"/>
      <c r="BE167" s="77"/>
      <c r="BF167" s="77"/>
      <c r="BG167" s="77"/>
      <c r="BH167" s="77"/>
    </row>
    <row r="168" spans="1:60" x14ac:dyDescent="0.25">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c r="AB168" s="77"/>
      <c r="AC168" s="77"/>
      <c r="AD168" s="77"/>
      <c r="AE168" s="77"/>
      <c r="AF168" s="77"/>
      <c r="AG168" s="77"/>
      <c r="AH168" s="77"/>
      <c r="AI168" s="77"/>
      <c r="AJ168" s="77"/>
      <c r="AK168" s="77"/>
      <c r="AL168" s="77"/>
      <c r="AM168" s="77"/>
      <c r="AN168" s="77"/>
      <c r="AO168" s="77"/>
      <c r="AP168" s="77"/>
      <c r="AQ168" s="77"/>
      <c r="AR168" s="77"/>
      <c r="AS168" s="77"/>
      <c r="AT168" s="77"/>
      <c r="AU168" s="77"/>
      <c r="AV168" s="77"/>
      <c r="AW168" s="77"/>
      <c r="AX168" s="77"/>
      <c r="AY168" s="77"/>
      <c r="AZ168" s="77"/>
      <c r="BA168" s="77"/>
      <c r="BB168" s="77"/>
      <c r="BC168" s="77"/>
      <c r="BD168" s="77"/>
      <c r="BE168" s="77"/>
      <c r="BF168" s="77"/>
      <c r="BG168" s="77"/>
      <c r="BH168" s="77"/>
    </row>
    <row r="169" spans="1:60" x14ac:dyDescent="0.25">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c r="AJ169" s="77"/>
      <c r="AK169" s="77"/>
      <c r="AL169" s="77"/>
      <c r="AM169" s="77"/>
      <c r="AN169" s="77"/>
      <c r="AO169" s="77"/>
      <c r="AP169" s="77"/>
      <c r="AQ169" s="77"/>
      <c r="AR169" s="77"/>
      <c r="AS169" s="77"/>
      <c r="AT169" s="77"/>
      <c r="AU169" s="77"/>
      <c r="AV169" s="77"/>
      <c r="AW169" s="77"/>
      <c r="AX169" s="77"/>
      <c r="AY169" s="77"/>
      <c r="AZ169" s="77"/>
      <c r="BA169" s="77"/>
      <c r="BB169" s="77"/>
      <c r="BC169" s="77"/>
      <c r="BD169" s="77"/>
      <c r="BE169" s="77"/>
      <c r="BF169" s="77"/>
      <c r="BG169" s="77"/>
      <c r="BH169" s="77"/>
    </row>
    <row r="170" spans="1:60" x14ac:dyDescent="0.25">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77"/>
      <c r="AD170" s="77"/>
      <c r="AE170" s="77"/>
      <c r="AF170" s="77"/>
      <c r="AG170" s="77"/>
      <c r="AH170" s="77"/>
      <c r="AI170" s="77"/>
      <c r="AJ170" s="77"/>
      <c r="AK170" s="77"/>
      <c r="AL170" s="77"/>
      <c r="AM170" s="77"/>
      <c r="AN170" s="77"/>
      <c r="AO170" s="77"/>
      <c r="AP170" s="77"/>
      <c r="AQ170" s="77"/>
      <c r="AR170" s="77"/>
      <c r="AS170" s="77"/>
      <c r="AT170" s="77"/>
      <c r="AU170" s="77"/>
      <c r="AV170" s="77"/>
      <c r="AW170" s="77"/>
      <c r="AX170" s="77"/>
      <c r="AY170" s="77"/>
      <c r="AZ170" s="77"/>
      <c r="BA170" s="77"/>
      <c r="BB170" s="77"/>
      <c r="BC170" s="77"/>
      <c r="BD170" s="77"/>
      <c r="BE170" s="77"/>
      <c r="BF170" s="77"/>
      <c r="BG170" s="77"/>
      <c r="BH170" s="77"/>
    </row>
    <row r="171" spans="1:60" x14ac:dyDescent="0.25">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c r="AB171" s="77"/>
      <c r="AC171" s="77"/>
      <c r="AD171" s="77"/>
      <c r="AE171" s="77"/>
      <c r="AF171" s="77"/>
      <c r="AG171" s="77"/>
      <c r="AH171" s="77"/>
      <c r="AI171" s="77"/>
      <c r="AJ171" s="77"/>
      <c r="AK171" s="77"/>
      <c r="AL171" s="77"/>
      <c r="AM171" s="77"/>
      <c r="AN171" s="77"/>
      <c r="AO171" s="77"/>
      <c r="AP171" s="77"/>
      <c r="AQ171" s="77"/>
      <c r="AR171" s="77"/>
      <c r="AS171" s="77"/>
      <c r="AT171" s="77"/>
      <c r="AU171" s="77"/>
      <c r="AV171" s="77"/>
      <c r="AW171" s="77"/>
      <c r="AX171" s="77"/>
      <c r="AY171" s="77"/>
      <c r="AZ171" s="77"/>
      <c r="BA171" s="77"/>
      <c r="BB171" s="77"/>
      <c r="BC171" s="77"/>
      <c r="BD171" s="77"/>
      <c r="BE171" s="77"/>
      <c r="BF171" s="77"/>
      <c r="BG171" s="77"/>
      <c r="BH171" s="77"/>
    </row>
    <row r="172" spans="1:60" x14ac:dyDescent="0.25">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c r="AB172" s="77"/>
      <c r="AC172" s="77"/>
      <c r="AD172" s="77"/>
      <c r="AE172" s="77"/>
      <c r="AF172" s="77"/>
      <c r="AG172" s="77"/>
      <c r="AH172" s="77"/>
      <c r="AI172" s="77"/>
      <c r="AJ172" s="77"/>
      <c r="AK172" s="77"/>
      <c r="AL172" s="77"/>
      <c r="AM172" s="77"/>
      <c r="AN172" s="77"/>
      <c r="AO172" s="77"/>
      <c r="AP172" s="77"/>
      <c r="AQ172" s="77"/>
      <c r="AR172" s="77"/>
      <c r="AS172" s="77"/>
      <c r="AT172" s="77"/>
      <c r="AU172" s="77"/>
      <c r="AV172" s="77"/>
      <c r="AW172" s="77"/>
      <c r="AX172" s="77"/>
      <c r="AY172" s="77"/>
      <c r="AZ172" s="77"/>
      <c r="BA172" s="77"/>
      <c r="BB172" s="77"/>
      <c r="BC172" s="77"/>
      <c r="BD172" s="77"/>
      <c r="BE172" s="77"/>
      <c r="BF172" s="77"/>
      <c r="BG172" s="77"/>
      <c r="BH172" s="77"/>
    </row>
    <row r="173" spans="1:60" x14ac:dyDescent="0.25">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c r="AB173" s="77"/>
      <c r="AC173" s="77"/>
      <c r="AD173" s="77"/>
      <c r="AE173" s="77"/>
      <c r="AF173" s="77"/>
      <c r="AG173" s="77"/>
      <c r="AH173" s="77"/>
      <c r="AI173" s="77"/>
      <c r="AJ173" s="77"/>
      <c r="AK173" s="77"/>
      <c r="AL173" s="77"/>
      <c r="AM173" s="77"/>
      <c r="AN173" s="77"/>
      <c r="AO173" s="77"/>
      <c r="AP173" s="77"/>
      <c r="AQ173" s="77"/>
      <c r="AR173" s="77"/>
      <c r="AS173" s="77"/>
      <c r="AT173" s="77"/>
      <c r="AU173" s="77"/>
      <c r="AV173" s="77"/>
      <c r="AW173" s="77"/>
      <c r="AX173" s="77"/>
      <c r="AY173" s="77"/>
      <c r="AZ173" s="77"/>
      <c r="BA173" s="77"/>
      <c r="BB173" s="77"/>
      <c r="BC173" s="77"/>
      <c r="BD173" s="77"/>
      <c r="BE173" s="77"/>
      <c r="BF173" s="77"/>
      <c r="BG173" s="77"/>
      <c r="BH173" s="77"/>
    </row>
    <row r="174" spans="1:60" x14ac:dyDescent="0.25">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c r="AD174" s="77"/>
      <c r="AE174" s="77"/>
      <c r="AF174" s="77"/>
      <c r="AG174" s="77"/>
      <c r="AH174" s="77"/>
      <c r="AI174" s="77"/>
      <c r="AJ174" s="77"/>
      <c r="AK174" s="77"/>
      <c r="AL174" s="77"/>
      <c r="AM174" s="77"/>
      <c r="AN174" s="77"/>
      <c r="AO174" s="77"/>
      <c r="AP174" s="77"/>
      <c r="AQ174" s="77"/>
      <c r="AR174" s="77"/>
      <c r="AS174" s="77"/>
      <c r="AT174" s="77"/>
      <c r="AU174" s="77"/>
      <c r="AV174" s="77"/>
      <c r="AW174" s="77"/>
      <c r="AX174" s="77"/>
      <c r="AY174" s="77"/>
      <c r="AZ174" s="77"/>
      <c r="BA174" s="77"/>
      <c r="BB174" s="77"/>
      <c r="BC174" s="77"/>
      <c r="BD174" s="77"/>
      <c r="BE174" s="77"/>
      <c r="BF174" s="77"/>
      <c r="BG174" s="77"/>
      <c r="BH174" s="77"/>
    </row>
    <row r="175" spans="1:60" x14ac:dyDescent="0.25">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c r="AJ175" s="77"/>
      <c r="AK175" s="77"/>
      <c r="AL175" s="77"/>
      <c r="AM175" s="77"/>
      <c r="AN175" s="77"/>
      <c r="AO175" s="77"/>
      <c r="AP175" s="77"/>
      <c r="AQ175" s="77"/>
      <c r="AR175" s="77"/>
      <c r="AS175" s="77"/>
      <c r="AT175" s="77"/>
      <c r="AU175" s="77"/>
      <c r="AV175" s="77"/>
      <c r="AW175" s="77"/>
      <c r="AX175" s="77"/>
      <c r="AY175" s="77"/>
      <c r="AZ175" s="77"/>
      <c r="BA175" s="77"/>
      <c r="BB175" s="77"/>
      <c r="BC175" s="77"/>
      <c r="BD175" s="77"/>
      <c r="BE175" s="77"/>
      <c r="BF175" s="77"/>
      <c r="BG175" s="77"/>
      <c r="BH175" s="77"/>
    </row>
    <row r="176" spans="1:60" x14ac:dyDescent="0.25">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77"/>
      <c r="AJ176" s="77"/>
      <c r="AK176" s="77"/>
      <c r="AL176" s="77"/>
      <c r="AM176" s="77"/>
      <c r="AN176" s="77"/>
      <c r="AO176" s="77"/>
      <c r="AP176" s="77"/>
      <c r="AQ176" s="77"/>
      <c r="AR176" s="77"/>
      <c r="AS176" s="77"/>
      <c r="AT176" s="77"/>
      <c r="AU176" s="77"/>
      <c r="AV176" s="77"/>
      <c r="AW176" s="77"/>
      <c r="AX176" s="77"/>
      <c r="AY176" s="77"/>
      <c r="AZ176" s="77"/>
      <c r="BA176" s="77"/>
      <c r="BB176" s="77"/>
      <c r="BC176" s="77"/>
      <c r="BD176" s="77"/>
      <c r="BE176" s="77"/>
      <c r="BF176" s="77"/>
      <c r="BG176" s="77"/>
      <c r="BH176" s="77"/>
    </row>
    <row r="177" spans="1:60" x14ac:dyDescent="0.25">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c r="AJ177" s="77"/>
      <c r="AK177" s="77"/>
      <c r="AL177" s="77"/>
      <c r="AM177" s="77"/>
      <c r="AN177" s="77"/>
      <c r="AO177" s="77"/>
      <c r="AP177" s="77"/>
      <c r="AQ177" s="77"/>
      <c r="AR177" s="77"/>
      <c r="AS177" s="77"/>
      <c r="AT177" s="77"/>
      <c r="AU177" s="77"/>
      <c r="AV177" s="77"/>
      <c r="AW177" s="77"/>
      <c r="AX177" s="77"/>
      <c r="AY177" s="77"/>
      <c r="AZ177" s="77"/>
      <c r="BA177" s="77"/>
      <c r="BB177" s="77"/>
      <c r="BC177" s="77"/>
      <c r="BD177" s="77"/>
      <c r="BE177" s="77"/>
      <c r="BF177" s="77"/>
      <c r="BG177" s="77"/>
      <c r="BH177" s="77"/>
    </row>
    <row r="178" spans="1:60" x14ac:dyDescent="0.25">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c r="AB178" s="77"/>
      <c r="AC178" s="77"/>
      <c r="AD178" s="77"/>
      <c r="AE178" s="77"/>
      <c r="AF178" s="77"/>
      <c r="AG178" s="77"/>
      <c r="AH178" s="77"/>
      <c r="AI178" s="77"/>
      <c r="AJ178" s="77"/>
      <c r="AK178" s="77"/>
      <c r="AL178" s="77"/>
      <c r="AM178" s="77"/>
      <c r="AN178" s="77"/>
      <c r="AO178" s="77"/>
      <c r="AP178" s="77"/>
      <c r="AQ178" s="77"/>
      <c r="AR178" s="77"/>
      <c r="AS178" s="77"/>
      <c r="AT178" s="77"/>
      <c r="AU178" s="77"/>
      <c r="AV178" s="77"/>
      <c r="AW178" s="77"/>
      <c r="AX178" s="77"/>
      <c r="AY178" s="77"/>
      <c r="AZ178" s="77"/>
      <c r="BA178" s="77"/>
      <c r="BB178" s="77"/>
      <c r="BC178" s="77"/>
      <c r="BD178" s="77"/>
      <c r="BE178" s="77"/>
      <c r="BF178" s="77"/>
      <c r="BG178" s="77"/>
      <c r="BH178" s="77"/>
    </row>
    <row r="179" spans="1:60" x14ac:dyDescent="0.25">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77"/>
      <c r="AJ179" s="77"/>
      <c r="AK179" s="77"/>
      <c r="AL179" s="77"/>
      <c r="AM179" s="77"/>
      <c r="AN179" s="77"/>
      <c r="AO179" s="77"/>
      <c r="AP179" s="77"/>
      <c r="AQ179" s="77"/>
      <c r="AR179" s="77"/>
      <c r="AS179" s="77"/>
      <c r="AT179" s="77"/>
      <c r="AU179" s="77"/>
      <c r="AV179" s="77"/>
      <c r="AW179" s="77"/>
      <c r="AX179" s="77"/>
      <c r="AY179" s="77"/>
      <c r="AZ179" s="77"/>
      <c r="BA179" s="77"/>
      <c r="BB179" s="77"/>
      <c r="BC179" s="77"/>
      <c r="BD179" s="77"/>
      <c r="BE179" s="77"/>
      <c r="BF179" s="77"/>
      <c r="BG179" s="77"/>
      <c r="BH179" s="77"/>
    </row>
    <row r="180" spans="1:60" x14ac:dyDescent="0.25">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7"/>
      <c r="AJ180" s="77"/>
      <c r="AK180" s="77"/>
      <c r="AL180" s="77"/>
      <c r="AM180" s="77"/>
      <c r="AN180" s="77"/>
      <c r="AO180" s="77"/>
      <c r="AP180" s="77"/>
      <c r="AQ180" s="77"/>
      <c r="AR180" s="77"/>
      <c r="AS180" s="77"/>
      <c r="AT180" s="77"/>
      <c r="AU180" s="77"/>
      <c r="AV180" s="77"/>
      <c r="AW180" s="77"/>
      <c r="AX180" s="77"/>
      <c r="AY180" s="77"/>
      <c r="AZ180" s="77"/>
      <c r="BA180" s="77"/>
      <c r="BB180" s="77"/>
      <c r="BC180" s="77"/>
      <c r="BD180" s="77"/>
      <c r="BE180" s="77"/>
      <c r="BF180" s="77"/>
      <c r="BG180" s="77"/>
      <c r="BH180" s="77"/>
    </row>
    <row r="181" spans="1:60" x14ac:dyDescent="0.25">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c r="AB181" s="77"/>
      <c r="AC181" s="77"/>
      <c r="AD181" s="77"/>
      <c r="AE181" s="77"/>
      <c r="AF181" s="77"/>
      <c r="AG181" s="77"/>
      <c r="AH181" s="77"/>
      <c r="AI181" s="77"/>
      <c r="AJ181" s="77"/>
      <c r="AK181" s="77"/>
      <c r="AL181" s="77"/>
      <c r="AM181" s="77"/>
      <c r="AN181" s="77"/>
      <c r="AO181" s="77"/>
      <c r="AP181" s="77"/>
      <c r="AQ181" s="77"/>
      <c r="AR181" s="77"/>
      <c r="AS181" s="77"/>
      <c r="AT181" s="77"/>
      <c r="AU181" s="77"/>
      <c r="AV181" s="77"/>
      <c r="AW181" s="77"/>
      <c r="AX181" s="77"/>
      <c r="AY181" s="77"/>
      <c r="AZ181" s="77"/>
      <c r="BA181" s="77"/>
      <c r="BB181" s="77"/>
      <c r="BC181" s="77"/>
      <c r="BD181" s="77"/>
      <c r="BE181" s="77"/>
      <c r="BF181" s="77"/>
      <c r="BG181" s="77"/>
      <c r="BH181" s="77"/>
    </row>
    <row r="182" spans="1:60" x14ac:dyDescent="0.25">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c r="AB182" s="77"/>
      <c r="AC182" s="77"/>
      <c r="AD182" s="77"/>
      <c r="AE182" s="77"/>
      <c r="AF182" s="77"/>
      <c r="AG182" s="77"/>
      <c r="AH182" s="77"/>
      <c r="AI182" s="77"/>
      <c r="AJ182" s="77"/>
      <c r="AK182" s="77"/>
      <c r="AL182" s="77"/>
      <c r="AM182" s="77"/>
      <c r="AN182" s="77"/>
      <c r="AO182" s="77"/>
      <c r="AP182" s="77"/>
      <c r="AQ182" s="77"/>
      <c r="AR182" s="77"/>
      <c r="AS182" s="77"/>
      <c r="AT182" s="77"/>
      <c r="AU182" s="77"/>
      <c r="AV182" s="77"/>
      <c r="AW182" s="77"/>
      <c r="AX182" s="77"/>
      <c r="AY182" s="77"/>
      <c r="AZ182" s="77"/>
      <c r="BA182" s="77"/>
      <c r="BB182" s="77"/>
      <c r="BC182" s="77"/>
      <c r="BD182" s="77"/>
      <c r="BE182" s="77"/>
      <c r="BF182" s="77"/>
      <c r="BG182" s="77"/>
      <c r="BH182" s="77"/>
    </row>
    <row r="183" spans="1:60" x14ac:dyDescent="0.25">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7"/>
      <c r="AJ183" s="77"/>
      <c r="AK183" s="77"/>
      <c r="AL183" s="77"/>
      <c r="AM183" s="77"/>
      <c r="AN183" s="77"/>
      <c r="AO183" s="77"/>
      <c r="AP183" s="77"/>
      <c r="AQ183" s="77"/>
      <c r="AR183" s="77"/>
      <c r="AS183" s="77"/>
      <c r="AT183" s="77"/>
      <c r="AU183" s="77"/>
      <c r="AV183" s="77"/>
      <c r="AW183" s="77"/>
      <c r="AX183" s="77"/>
      <c r="AY183" s="77"/>
      <c r="AZ183" s="77"/>
      <c r="BA183" s="77"/>
      <c r="BB183" s="77"/>
      <c r="BC183" s="77"/>
      <c r="BD183" s="77"/>
      <c r="BE183" s="77"/>
      <c r="BF183" s="77"/>
      <c r="BG183" s="77"/>
      <c r="BH183" s="77"/>
    </row>
    <row r="184" spans="1:60" x14ac:dyDescent="0.25">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c r="AB184" s="77"/>
      <c r="AC184" s="77"/>
      <c r="AD184" s="77"/>
      <c r="AE184" s="77"/>
      <c r="AF184" s="77"/>
      <c r="AG184" s="77"/>
      <c r="AH184" s="77"/>
      <c r="AI184" s="77"/>
      <c r="AJ184" s="77"/>
      <c r="AK184" s="77"/>
      <c r="AL184" s="77"/>
      <c r="AM184" s="77"/>
      <c r="AN184" s="77"/>
      <c r="AO184" s="77"/>
      <c r="AP184" s="77"/>
      <c r="AQ184" s="77"/>
      <c r="AR184" s="77"/>
      <c r="AS184" s="77"/>
      <c r="AT184" s="77"/>
      <c r="AU184" s="77"/>
      <c r="AV184" s="77"/>
      <c r="AW184" s="77"/>
      <c r="AX184" s="77"/>
      <c r="AY184" s="77"/>
      <c r="AZ184" s="77"/>
      <c r="BA184" s="77"/>
      <c r="BB184" s="77"/>
      <c r="BC184" s="77"/>
      <c r="BD184" s="77"/>
      <c r="BE184" s="77"/>
      <c r="BF184" s="77"/>
      <c r="BG184" s="77"/>
      <c r="BH184" s="77"/>
    </row>
    <row r="185" spans="1:60" x14ac:dyDescent="0.25">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c r="AN185" s="77"/>
      <c r="AO185" s="77"/>
      <c r="AP185" s="77"/>
      <c r="AQ185" s="77"/>
      <c r="AR185" s="77"/>
      <c r="AS185" s="77"/>
      <c r="AT185" s="77"/>
      <c r="AU185" s="77"/>
      <c r="AV185" s="77"/>
      <c r="AW185" s="77"/>
      <c r="AX185" s="77"/>
      <c r="AY185" s="77"/>
      <c r="AZ185" s="77"/>
      <c r="BA185" s="77"/>
      <c r="BB185" s="77"/>
      <c r="BC185" s="77"/>
      <c r="BD185" s="77"/>
      <c r="BE185" s="77"/>
      <c r="BF185" s="77"/>
      <c r="BG185" s="77"/>
      <c r="BH185" s="77"/>
    </row>
    <row r="186" spans="1:60" x14ac:dyDescent="0.25">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c r="AB186" s="77"/>
      <c r="AC186" s="77"/>
      <c r="AD186" s="77"/>
      <c r="AE186" s="77"/>
      <c r="AF186" s="77"/>
      <c r="AG186" s="77"/>
      <c r="AH186" s="77"/>
      <c r="AI186" s="77"/>
      <c r="AJ186" s="77"/>
      <c r="AK186" s="77"/>
      <c r="AL186" s="77"/>
      <c r="AM186" s="77"/>
      <c r="AN186" s="77"/>
      <c r="AO186" s="77"/>
      <c r="AP186" s="77"/>
      <c r="AQ186" s="77"/>
      <c r="AR186" s="77"/>
      <c r="AS186" s="77"/>
      <c r="AT186" s="77"/>
      <c r="AU186" s="77"/>
      <c r="AV186" s="77"/>
      <c r="AW186" s="77"/>
      <c r="AX186" s="77"/>
      <c r="AY186" s="77"/>
      <c r="AZ186" s="77"/>
      <c r="BA186" s="77"/>
      <c r="BB186" s="77"/>
      <c r="BC186" s="77"/>
      <c r="BD186" s="77"/>
      <c r="BE186" s="77"/>
      <c r="BF186" s="77"/>
      <c r="BG186" s="77"/>
      <c r="BH186" s="77"/>
    </row>
    <row r="187" spans="1:60" x14ac:dyDescent="0.25">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c r="AE187" s="77"/>
      <c r="AF187" s="77"/>
      <c r="AG187" s="77"/>
      <c r="AH187" s="77"/>
      <c r="AI187" s="77"/>
      <c r="AJ187" s="77"/>
      <c r="AK187" s="77"/>
      <c r="AL187" s="77"/>
      <c r="AM187" s="77"/>
      <c r="AN187" s="77"/>
      <c r="AO187" s="77"/>
      <c r="AP187" s="77"/>
      <c r="AQ187" s="77"/>
      <c r="AR187" s="77"/>
      <c r="AS187" s="77"/>
      <c r="AT187" s="77"/>
      <c r="AU187" s="77"/>
      <c r="AV187" s="77"/>
      <c r="AW187" s="77"/>
      <c r="AX187" s="77"/>
      <c r="AY187" s="77"/>
      <c r="AZ187" s="77"/>
      <c r="BA187" s="77"/>
      <c r="BB187" s="77"/>
      <c r="BC187" s="77"/>
      <c r="BD187" s="77"/>
      <c r="BE187" s="77"/>
      <c r="BF187" s="77"/>
      <c r="BG187" s="77"/>
      <c r="BH187" s="77"/>
    </row>
    <row r="188" spans="1:60" x14ac:dyDescent="0.25">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c r="AB188" s="77"/>
      <c r="AC188" s="77"/>
      <c r="AD188" s="77"/>
      <c r="AE188" s="77"/>
      <c r="AF188" s="77"/>
      <c r="AG188" s="77"/>
      <c r="AH188" s="77"/>
      <c r="AI188" s="77"/>
      <c r="AJ188" s="77"/>
      <c r="AK188" s="77"/>
      <c r="AL188" s="77"/>
      <c r="AM188" s="77"/>
      <c r="AN188" s="77"/>
      <c r="AO188" s="77"/>
      <c r="AP188" s="77"/>
      <c r="AQ188" s="77"/>
      <c r="AR188" s="77"/>
      <c r="AS188" s="77"/>
      <c r="AT188" s="77"/>
      <c r="AU188" s="77"/>
      <c r="AV188" s="77"/>
      <c r="AW188" s="77"/>
      <c r="AX188" s="77"/>
      <c r="AY188" s="77"/>
      <c r="AZ188" s="77"/>
      <c r="BA188" s="77"/>
      <c r="BB188" s="77"/>
      <c r="BC188" s="77"/>
      <c r="BD188" s="77"/>
      <c r="BE188" s="77"/>
      <c r="BF188" s="77"/>
      <c r="BG188" s="77"/>
      <c r="BH188" s="77"/>
    </row>
    <row r="189" spans="1:60" x14ac:dyDescent="0.25">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c r="AB189" s="77"/>
      <c r="AC189" s="77"/>
      <c r="AD189" s="77"/>
      <c r="AE189" s="77"/>
      <c r="AF189" s="77"/>
      <c r="AG189" s="77"/>
      <c r="AH189" s="77"/>
      <c r="AI189" s="77"/>
      <c r="AJ189" s="77"/>
      <c r="AK189" s="77"/>
      <c r="AL189" s="77"/>
      <c r="AM189" s="77"/>
      <c r="AN189" s="77"/>
      <c r="AO189" s="77"/>
      <c r="AP189" s="77"/>
      <c r="AQ189" s="77"/>
      <c r="AR189" s="77"/>
      <c r="AS189" s="77"/>
      <c r="AT189" s="77"/>
      <c r="AU189" s="77"/>
      <c r="AV189" s="77"/>
      <c r="AW189" s="77"/>
      <c r="AX189" s="77"/>
      <c r="AY189" s="77"/>
      <c r="AZ189" s="77"/>
      <c r="BA189" s="77"/>
      <c r="BB189" s="77"/>
      <c r="BC189" s="77"/>
      <c r="BD189" s="77"/>
      <c r="BE189" s="77"/>
      <c r="BF189" s="77"/>
      <c r="BG189" s="77"/>
      <c r="BH189" s="77"/>
    </row>
    <row r="190" spans="1:60" x14ac:dyDescent="0.25">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c r="AB190" s="77"/>
      <c r="AC190" s="77"/>
      <c r="AD190" s="77"/>
      <c r="AE190" s="77"/>
      <c r="AF190" s="77"/>
      <c r="AG190" s="77"/>
      <c r="AH190" s="77"/>
      <c r="AI190" s="77"/>
      <c r="AJ190" s="77"/>
      <c r="AK190" s="77"/>
      <c r="AL190" s="77"/>
      <c r="AM190" s="77"/>
      <c r="AN190" s="77"/>
      <c r="AO190" s="77"/>
      <c r="AP190" s="77"/>
      <c r="AQ190" s="77"/>
      <c r="AR190" s="77"/>
      <c r="AS190" s="77"/>
      <c r="AT190" s="77"/>
      <c r="AU190" s="77"/>
      <c r="AV190" s="77"/>
      <c r="AW190" s="77"/>
      <c r="AX190" s="77"/>
      <c r="AY190" s="77"/>
      <c r="AZ190" s="77"/>
      <c r="BA190" s="77"/>
      <c r="BB190" s="77"/>
      <c r="BC190" s="77"/>
      <c r="BD190" s="77"/>
      <c r="BE190" s="77"/>
      <c r="BF190" s="77"/>
      <c r="BG190" s="77"/>
      <c r="BH190" s="77"/>
    </row>
    <row r="191" spans="1:60" x14ac:dyDescent="0.25">
      <c r="A191" s="77"/>
      <c r="J191" s="77"/>
      <c r="K191" s="77"/>
      <c r="L191" s="77"/>
      <c r="M191" s="77"/>
      <c r="N191" s="77"/>
      <c r="O191" s="77"/>
      <c r="P191" s="77"/>
      <c r="Q191" s="77"/>
      <c r="R191" s="77"/>
      <c r="S191" s="77"/>
      <c r="T191" s="77"/>
      <c r="U191" s="77"/>
      <c r="V191" s="77"/>
      <c r="W191" s="77"/>
      <c r="X191" s="77"/>
      <c r="Y191" s="77"/>
      <c r="Z191" s="77"/>
      <c r="AA191" s="77"/>
      <c r="AB191" s="77"/>
      <c r="AC191" s="77"/>
      <c r="AD191" s="77"/>
      <c r="AE191" s="77"/>
      <c r="AF191" s="77"/>
      <c r="AG191" s="77"/>
      <c r="AH191" s="77"/>
      <c r="AI191" s="77"/>
      <c r="AJ191" s="77"/>
      <c r="AK191" s="77"/>
      <c r="AL191" s="77"/>
      <c r="AM191" s="77"/>
      <c r="AN191" s="77"/>
      <c r="AO191" s="77"/>
      <c r="AP191" s="77"/>
      <c r="AQ191" s="77"/>
      <c r="AR191" s="77"/>
      <c r="AS191" s="77"/>
      <c r="AT191" s="77"/>
      <c r="AU191" s="77"/>
      <c r="AV191" s="77"/>
      <c r="AW191" s="77"/>
      <c r="AX191" s="77"/>
      <c r="AY191" s="77"/>
      <c r="AZ191" s="77"/>
      <c r="BA191" s="77"/>
      <c r="BB191" s="77"/>
      <c r="BC191" s="77"/>
      <c r="BD191" s="77"/>
      <c r="BE191" s="77"/>
      <c r="BF191" s="77"/>
      <c r="BG191" s="77"/>
      <c r="BH191" s="77"/>
    </row>
    <row r="192" spans="1:60" x14ac:dyDescent="0.25">
      <c r="A192" s="77"/>
      <c r="J192" s="77"/>
      <c r="K192" s="77"/>
      <c r="L192" s="77"/>
      <c r="M192" s="77"/>
      <c r="N192" s="77"/>
      <c r="O192" s="77"/>
      <c r="P192" s="77"/>
      <c r="Q192" s="77"/>
      <c r="R192" s="77"/>
      <c r="S192" s="77"/>
      <c r="T192" s="77"/>
      <c r="U192" s="77"/>
      <c r="V192" s="77"/>
      <c r="W192" s="77"/>
      <c r="X192" s="77"/>
      <c r="Y192" s="77"/>
      <c r="Z192" s="77"/>
      <c r="AA192" s="77"/>
      <c r="AB192" s="77"/>
      <c r="AC192" s="77"/>
      <c r="AD192" s="77"/>
      <c r="AE192" s="77"/>
      <c r="AF192" s="77"/>
      <c r="AG192" s="77"/>
      <c r="AH192" s="77"/>
      <c r="AI192" s="77"/>
      <c r="AJ192" s="77"/>
      <c r="AK192" s="77"/>
      <c r="AL192" s="77"/>
      <c r="AM192" s="77"/>
      <c r="AN192" s="77"/>
      <c r="AO192" s="77"/>
      <c r="AP192" s="77"/>
      <c r="AQ192" s="77"/>
      <c r="AR192" s="77"/>
      <c r="AS192" s="77"/>
      <c r="AT192" s="77"/>
      <c r="AU192" s="77"/>
      <c r="AV192" s="77"/>
      <c r="AW192" s="77"/>
      <c r="AX192" s="77"/>
      <c r="AY192" s="77"/>
      <c r="AZ192" s="77"/>
      <c r="BA192" s="77"/>
      <c r="BB192" s="77"/>
      <c r="BC192" s="77"/>
      <c r="BD192" s="77"/>
      <c r="BE192" s="77"/>
      <c r="BF192" s="77"/>
      <c r="BG192" s="77"/>
      <c r="BH192" s="77"/>
    </row>
    <row r="193" spans="1:60" x14ac:dyDescent="0.25">
      <c r="A193" s="77"/>
      <c r="J193" s="77"/>
      <c r="K193" s="77"/>
      <c r="L193" s="77"/>
      <c r="M193" s="77"/>
      <c r="N193" s="77"/>
      <c r="O193" s="77"/>
      <c r="P193" s="77"/>
      <c r="Q193" s="77"/>
      <c r="R193" s="77"/>
      <c r="S193" s="77"/>
      <c r="T193" s="77"/>
      <c r="U193" s="77"/>
      <c r="V193" s="77"/>
      <c r="W193" s="77"/>
      <c r="X193" s="77"/>
      <c r="Y193" s="77"/>
      <c r="Z193" s="77"/>
      <c r="AA193" s="77"/>
      <c r="AB193" s="77"/>
      <c r="AC193" s="77"/>
      <c r="AD193" s="77"/>
      <c r="AE193" s="77"/>
      <c r="AF193" s="77"/>
      <c r="AG193" s="77"/>
      <c r="AH193" s="77"/>
      <c r="AI193" s="77"/>
      <c r="AJ193" s="77"/>
      <c r="AK193" s="77"/>
      <c r="AL193" s="77"/>
      <c r="AM193" s="77"/>
      <c r="AN193" s="77"/>
      <c r="AO193" s="77"/>
      <c r="AP193" s="77"/>
      <c r="AQ193" s="77"/>
      <c r="AR193" s="77"/>
      <c r="AS193" s="77"/>
      <c r="AT193" s="77"/>
      <c r="AU193" s="77"/>
      <c r="AV193" s="77"/>
      <c r="AW193" s="77"/>
      <c r="AX193" s="77"/>
      <c r="AY193" s="77"/>
      <c r="AZ193" s="77"/>
      <c r="BA193" s="77"/>
      <c r="BB193" s="77"/>
      <c r="BC193" s="77"/>
      <c r="BD193" s="77"/>
      <c r="BE193" s="77"/>
      <c r="BF193" s="77"/>
      <c r="BG193" s="77"/>
      <c r="BH193" s="77"/>
    </row>
    <row r="194" spans="1:60" x14ac:dyDescent="0.25">
      <c r="A194" s="77"/>
      <c r="J194" s="77"/>
      <c r="K194" s="77"/>
      <c r="L194" s="77"/>
      <c r="M194" s="77"/>
      <c r="N194" s="77"/>
      <c r="O194" s="77"/>
      <c r="P194" s="77"/>
      <c r="Q194" s="77"/>
      <c r="R194" s="77"/>
      <c r="S194" s="77"/>
      <c r="T194" s="77"/>
      <c r="U194" s="77"/>
      <c r="V194" s="77"/>
      <c r="W194" s="77"/>
      <c r="X194" s="77"/>
      <c r="Y194" s="77"/>
      <c r="Z194" s="77"/>
      <c r="AA194" s="77"/>
      <c r="AB194" s="77"/>
      <c r="AC194" s="77"/>
      <c r="AD194" s="77"/>
      <c r="AE194" s="77"/>
      <c r="AF194" s="77"/>
      <c r="AG194" s="77"/>
      <c r="AH194" s="77"/>
      <c r="AI194" s="77"/>
      <c r="AJ194" s="77"/>
      <c r="AK194" s="77"/>
      <c r="AL194" s="77"/>
      <c r="AM194" s="77"/>
      <c r="AN194" s="77"/>
      <c r="AO194" s="77"/>
      <c r="AP194" s="77"/>
      <c r="AQ194" s="77"/>
      <c r="AR194" s="77"/>
      <c r="AS194" s="77"/>
      <c r="AT194" s="77"/>
      <c r="AU194" s="77"/>
      <c r="AV194" s="77"/>
      <c r="AW194" s="77"/>
      <c r="AX194" s="77"/>
      <c r="AY194" s="77"/>
      <c r="AZ194" s="77"/>
      <c r="BA194" s="77"/>
      <c r="BB194" s="77"/>
      <c r="BC194" s="77"/>
      <c r="BD194" s="77"/>
      <c r="BE194" s="77"/>
      <c r="BF194" s="77"/>
      <c r="BG194" s="77"/>
      <c r="BH194" s="77"/>
    </row>
    <row r="195" spans="1:60" x14ac:dyDescent="0.25">
      <c r="A195" s="77"/>
      <c r="J195" s="77"/>
      <c r="K195" s="77"/>
      <c r="L195" s="77"/>
      <c r="M195" s="77"/>
      <c r="N195" s="77"/>
      <c r="O195" s="77"/>
      <c r="P195" s="77"/>
      <c r="Q195" s="77"/>
      <c r="R195" s="77"/>
      <c r="S195" s="77"/>
      <c r="T195" s="77"/>
      <c r="U195" s="77"/>
      <c r="V195" s="77"/>
      <c r="W195" s="77"/>
      <c r="X195" s="77"/>
      <c r="Y195" s="77"/>
      <c r="Z195" s="77"/>
      <c r="AA195" s="77"/>
      <c r="AB195" s="77"/>
      <c r="AC195" s="77"/>
      <c r="AD195" s="77"/>
      <c r="AE195" s="77"/>
      <c r="AF195" s="77"/>
      <c r="AG195" s="77"/>
      <c r="AH195" s="77"/>
      <c r="AI195" s="77"/>
      <c r="AJ195" s="77"/>
      <c r="AK195" s="77"/>
      <c r="AL195" s="77"/>
      <c r="AM195" s="77"/>
      <c r="AN195" s="77"/>
      <c r="AO195" s="77"/>
      <c r="AP195" s="77"/>
      <c r="AQ195" s="77"/>
      <c r="AR195" s="77"/>
      <c r="AS195" s="77"/>
      <c r="AT195" s="77"/>
      <c r="AU195" s="77"/>
      <c r="AV195" s="77"/>
      <c r="AW195" s="77"/>
      <c r="AX195" s="77"/>
      <c r="AY195" s="77"/>
      <c r="AZ195" s="77"/>
      <c r="BA195" s="77"/>
      <c r="BB195" s="77"/>
      <c r="BC195" s="77"/>
      <c r="BD195" s="77"/>
      <c r="BE195" s="77"/>
      <c r="BF195" s="77"/>
      <c r="BG195" s="77"/>
      <c r="BH195" s="77"/>
    </row>
    <row r="196" spans="1:60" x14ac:dyDescent="0.25">
      <c r="A196" s="77"/>
      <c r="J196" s="77"/>
      <c r="K196" s="77"/>
      <c r="L196" s="77"/>
      <c r="M196" s="77"/>
      <c r="N196" s="77"/>
      <c r="O196" s="77"/>
      <c r="P196" s="77"/>
      <c r="Q196" s="77"/>
      <c r="R196" s="77"/>
      <c r="S196" s="77"/>
      <c r="T196" s="77"/>
      <c r="U196" s="77"/>
      <c r="V196" s="77"/>
      <c r="W196" s="77"/>
      <c r="X196" s="77"/>
      <c r="Y196" s="77"/>
      <c r="Z196" s="77"/>
      <c r="AA196" s="77"/>
      <c r="AB196" s="77"/>
      <c r="AC196" s="77"/>
      <c r="AD196" s="77"/>
      <c r="AE196" s="77"/>
      <c r="AF196" s="77"/>
      <c r="AG196" s="77"/>
      <c r="AH196" s="77"/>
      <c r="AI196" s="77"/>
      <c r="AJ196" s="77"/>
      <c r="AK196" s="77"/>
      <c r="AL196" s="77"/>
      <c r="AM196" s="77"/>
      <c r="AN196" s="77"/>
      <c r="AO196" s="77"/>
      <c r="AP196" s="77"/>
      <c r="AQ196" s="77"/>
      <c r="AR196" s="77"/>
      <c r="AS196" s="77"/>
      <c r="AT196" s="77"/>
      <c r="AU196" s="77"/>
      <c r="AV196" s="77"/>
      <c r="AW196" s="77"/>
      <c r="AX196" s="77"/>
      <c r="AY196" s="77"/>
      <c r="AZ196" s="77"/>
      <c r="BA196" s="77"/>
      <c r="BB196" s="77"/>
      <c r="BC196" s="77"/>
      <c r="BD196" s="77"/>
      <c r="BE196" s="77"/>
      <c r="BF196" s="77"/>
      <c r="BG196" s="77"/>
      <c r="BH196" s="77"/>
    </row>
    <row r="197" spans="1:60" x14ac:dyDescent="0.25">
      <c r="A197" s="77"/>
      <c r="J197" s="77"/>
      <c r="K197" s="77"/>
      <c r="L197" s="77"/>
      <c r="M197" s="77"/>
      <c r="N197" s="77"/>
      <c r="O197" s="77"/>
      <c r="P197" s="77"/>
      <c r="Q197" s="77"/>
      <c r="R197" s="77"/>
      <c r="S197" s="77"/>
      <c r="T197" s="77"/>
      <c r="U197" s="77"/>
      <c r="V197" s="77"/>
      <c r="W197" s="77"/>
      <c r="X197" s="77"/>
      <c r="Y197" s="77"/>
      <c r="Z197" s="77"/>
      <c r="AA197" s="77"/>
      <c r="AB197" s="77"/>
      <c r="AC197" s="77"/>
      <c r="AD197" s="77"/>
      <c r="AE197" s="77"/>
      <c r="AF197" s="77"/>
      <c r="AG197" s="77"/>
      <c r="AH197" s="77"/>
      <c r="AI197" s="77"/>
      <c r="AJ197" s="77"/>
      <c r="AK197" s="77"/>
      <c r="AL197" s="77"/>
      <c r="AM197" s="77"/>
      <c r="AN197" s="77"/>
      <c r="AO197" s="77"/>
      <c r="AP197" s="77"/>
      <c r="AQ197" s="77"/>
      <c r="AR197" s="77"/>
      <c r="AS197" s="77"/>
      <c r="AT197" s="77"/>
      <c r="AU197" s="77"/>
      <c r="AV197" s="77"/>
      <c r="AW197" s="77"/>
      <c r="AX197" s="77"/>
      <c r="AY197" s="77"/>
      <c r="AZ197" s="77"/>
      <c r="BA197" s="77"/>
      <c r="BB197" s="77"/>
      <c r="BC197" s="77"/>
      <c r="BD197" s="77"/>
      <c r="BE197" s="77"/>
      <c r="BF197" s="77"/>
      <c r="BG197" s="77"/>
      <c r="BH197" s="77"/>
    </row>
    <row r="198" spans="1:60" x14ac:dyDescent="0.25">
      <c r="A198" s="77"/>
      <c r="J198" s="77"/>
      <c r="K198" s="77"/>
      <c r="L198" s="77"/>
      <c r="M198" s="77"/>
      <c r="N198" s="77"/>
      <c r="O198" s="77"/>
      <c r="P198" s="77"/>
      <c r="Q198" s="77"/>
      <c r="R198" s="77"/>
      <c r="S198" s="77"/>
      <c r="T198" s="77"/>
      <c r="U198" s="77"/>
      <c r="V198" s="77"/>
      <c r="W198" s="77"/>
      <c r="X198" s="77"/>
      <c r="Y198" s="77"/>
      <c r="Z198" s="77"/>
      <c r="AA198" s="77"/>
      <c r="AB198" s="77"/>
      <c r="AC198" s="77"/>
      <c r="AD198" s="77"/>
      <c r="AE198" s="77"/>
      <c r="AF198" s="77"/>
      <c r="AG198" s="77"/>
      <c r="AH198" s="77"/>
      <c r="AI198" s="77"/>
      <c r="AJ198" s="77"/>
      <c r="AK198" s="77"/>
      <c r="AL198" s="77"/>
      <c r="AM198" s="77"/>
      <c r="AN198" s="77"/>
      <c r="AO198" s="77"/>
      <c r="AP198" s="77"/>
      <c r="AQ198" s="77"/>
      <c r="AR198" s="77"/>
      <c r="AS198" s="77"/>
      <c r="AT198" s="77"/>
      <c r="AU198" s="77"/>
      <c r="AV198" s="77"/>
      <c r="AW198" s="77"/>
      <c r="AX198" s="77"/>
      <c r="AY198" s="77"/>
      <c r="AZ198" s="77"/>
      <c r="BA198" s="77"/>
      <c r="BB198" s="77"/>
      <c r="BC198" s="77"/>
      <c r="BD198" s="77"/>
      <c r="BE198" s="77"/>
      <c r="BF198" s="77"/>
      <c r="BG198" s="77"/>
      <c r="BH198" s="77"/>
    </row>
    <row r="199" spans="1:60" x14ac:dyDescent="0.25">
      <c r="A199" s="77"/>
      <c r="J199" s="77"/>
      <c r="K199" s="77"/>
      <c r="L199" s="77"/>
      <c r="M199" s="77"/>
      <c r="N199" s="77"/>
      <c r="O199" s="77"/>
      <c r="P199" s="77"/>
      <c r="Q199" s="77"/>
      <c r="R199" s="77"/>
      <c r="S199" s="77"/>
      <c r="T199" s="77"/>
      <c r="U199" s="77"/>
      <c r="V199" s="77"/>
      <c r="W199" s="77"/>
      <c r="X199" s="77"/>
      <c r="Y199" s="77"/>
      <c r="Z199" s="77"/>
      <c r="AA199" s="77"/>
      <c r="AB199" s="77"/>
      <c r="AC199" s="77"/>
      <c r="AD199" s="77"/>
      <c r="AE199" s="77"/>
      <c r="AF199" s="77"/>
      <c r="AG199" s="77"/>
      <c r="AH199" s="77"/>
      <c r="AI199" s="77"/>
      <c r="AJ199" s="77"/>
      <c r="AK199" s="77"/>
      <c r="AL199" s="77"/>
      <c r="AM199" s="77"/>
      <c r="AN199" s="77"/>
      <c r="AO199" s="77"/>
      <c r="AP199" s="77"/>
      <c r="AQ199" s="77"/>
      <c r="AR199" s="77"/>
      <c r="AS199" s="77"/>
      <c r="AT199" s="77"/>
      <c r="AU199" s="77"/>
      <c r="AV199" s="77"/>
      <c r="AW199" s="77"/>
      <c r="AX199" s="77"/>
      <c r="AY199" s="77"/>
      <c r="AZ199" s="77"/>
      <c r="BA199" s="77"/>
      <c r="BB199" s="77"/>
      <c r="BC199" s="77"/>
      <c r="BD199" s="77"/>
      <c r="BE199" s="77"/>
      <c r="BF199" s="77"/>
      <c r="BG199" s="77"/>
      <c r="BH199" s="77"/>
    </row>
    <row r="200" spans="1:60" x14ac:dyDescent="0.25">
      <c r="A200" s="77"/>
      <c r="J200" s="77"/>
      <c r="K200" s="77"/>
      <c r="L200" s="77"/>
      <c r="M200" s="77"/>
      <c r="N200" s="77"/>
      <c r="O200" s="77"/>
      <c r="P200" s="77"/>
      <c r="Q200" s="77"/>
      <c r="R200" s="77"/>
      <c r="S200" s="77"/>
      <c r="T200" s="77"/>
      <c r="U200" s="77"/>
      <c r="V200" s="77"/>
      <c r="W200" s="77"/>
      <c r="X200" s="77"/>
      <c r="Y200" s="77"/>
      <c r="Z200" s="77"/>
      <c r="AA200" s="77"/>
      <c r="AB200" s="77"/>
      <c r="AC200" s="77"/>
      <c r="AD200" s="77"/>
      <c r="AE200" s="77"/>
      <c r="AF200" s="77"/>
      <c r="AG200" s="77"/>
      <c r="AH200" s="77"/>
      <c r="AI200" s="77"/>
      <c r="AJ200" s="77"/>
      <c r="AK200" s="77"/>
      <c r="AL200" s="77"/>
      <c r="AM200" s="77"/>
      <c r="AN200" s="77"/>
      <c r="AO200" s="77"/>
      <c r="AP200" s="77"/>
      <c r="AQ200" s="77"/>
      <c r="AR200" s="77"/>
      <c r="AS200" s="77"/>
      <c r="AT200" s="77"/>
      <c r="AU200" s="77"/>
      <c r="AV200" s="77"/>
      <c r="AW200" s="77"/>
      <c r="AX200" s="77"/>
      <c r="AY200" s="77"/>
      <c r="AZ200" s="77"/>
      <c r="BA200" s="77"/>
      <c r="BB200" s="77"/>
      <c r="BC200" s="77"/>
      <c r="BD200" s="77"/>
      <c r="BE200" s="77"/>
      <c r="BF200" s="77"/>
      <c r="BG200" s="77"/>
      <c r="BH200" s="77"/>
    </row>
    <row r="201" spans="1:60" x14ac:dyDescent="0.25">
      <c r="A201" s="77"/>
      <c r="J201" s="77"/>
      <c r="K201" s="77"/>
      <c r="L201" s="77"/>
      <c r="M201" s="77"/>
      <c r="N201" s="77"/>
      <c r="O201" s="77"/>
      <c r="P201" s="77"/>
      <c r="Q201" s="77"/>
      <c r="R201" s="77"/>
      <c r="S201" s="77"/>
      <c r="T201" s="77"/>
      <c r="U201" s="77"/>
      <c r="V201" s="77"/>
      <c r="W201" s="77"/>
      <c r="X201" s="77"/>
      <c r="Y201" s="77"/>
      <c r="Z201" s="77"/>
      <c r="AA201" s="77"/>
      <c r="AB201" s="77"/>
      <c r="AC201" s="77"/>
      <c r="AD201" s="77"/>
      <c r="AE201" s="77"/>
      <c r="AF201" s="77"/>
      <c r="AG201" s="77"/>
      <c r="AH201" s="77"/>
      <c r="AI201" s="77"/>
      <c r="AJ201" s="77"/>
      <c r="AK201" s="77"/>
      <c r="AL201" s="77"/>
      <c r="AM201" s="77"/>
      <c r="AN201" s="77"/>
      <c r="AO201" s="77"/>
      <c r="AP201" s="77"/>
      <c r="AQ201" s="77"/>
      <c r="AR201" s="77"/>
      <c r="AS201" s="77"/>
      <c r="AT201" s="77"/>
      <c r="AU201" s="77"/>
      <c r="AV201" s="77"/>
      <c r="AW201" s="77"/>
      <c r="AX201" s="77"/>
      <c r="AY201" s="77"/>
      <c r="AZ201" s="77"/>
      <c r="BA201" s="77"/>
      <c r="BB201" s="77"/>
      <c r="BC201" s="77"/>
      <c r="BD201" s="77"/>
      <c r="BE201" s="77"/>
      <c r="BF201" s="77"/>
      <c r="BG201" s="77"/>
      <c r="BH201" s="77"/>
    </row>
    <row r="202" spans="1:60" x14ac:dyDescent="0.25">
      <c r="A202" s="77"/>
      <c r="J202" s="77"/>
      <c r="K202" s="77"/>
      <c r="L202" s="77"/>
      <c r="M202" s="77"/>
      <c r="N202" s="77"/>
      <c r="O202" s="77"/>
      <c r="P202" s="77"/>
      <c r="Q202" s="77"/>
      <c r="R202" s="77"/>
      <c r="S202" s="77"/>
      <c r="T202" s="77"/>
      <c r="U202" s="77"/>
      <c r="V202" s="77"/>
      <c r="W202" s="77"/>
      <c r="X202" s="77"/>
      <c r="Y202" s="77"/>
      <c r="Z202" s="77"/>
      <c r="AA202" s="77"/>
      <c r="AB202" s="77"/>
      <c r="AC202" s="77"/>
      <c r="AD202" s="77"/>
      <c r="AE202" s="77"/>
      <c r="AF202" s="77"/>
      <c r="AG202" s="77"/>
      <c r="AH202" s="77"/>
      <c r="AI202" s="77"/>
      <c r="AJ202" s="77"/>
      <c r="AK202" s="77"/>
      <c r="AL202" s="77"/>
      <c r="AM202" s="77"/>
      <c r="AN202" s="77"/>
      <c r="AO202" s="77"/>
      <c r="AP202" s="77"/>
      <c r="AQ202" s="77"/>
      <c r="AR202" s="77"/>
      <c r="AS202" s="77"/>
      <c r="AT202" s="77"/>
      <c r="AU202" s="77"/>
      <c r="AV202" s="77"/>
      <c r="AW202" s="77"/>
      <c r="AX202" s="77"/>
      <c r="AY202" s="77"/>
      <c r="AZ202" s="77"/>
      <c r="BA202" s="77"/>
      <c r="BB202" s="77"/>
      <c r="BC202" s="77"/>
      <c r="BD202" s="77"/>
      <c r="BE202" s="77"/>
      <c r="BF202" s="77"/>
      <c r="BG202" s="77"/>
      <c r="BH202" s="77"/>
    </row>
    <row r="203" spans="1:60" x14ac:dyDescent="0.25">
      <c r="A203" s="77"/>
      <c r="J203" s="77"/>
      <c r="K203" s="77"/>
      <c r="L203" s="77"/>
      <c r="M203" s="77"/>
      <c r="N203" s="77"/>
      <c r="O203" s="77"/>
      <c r="P203" s="77"/>
      <c r="Q203" s="77"/>
      <c r="R203" s="77"/>
      <c r="S203" s="77"/>
      <c r="T203" s="77"/>
      <c r="U203" s="77"/>
      <c r="V203" s="77"/>
      <c r="W203" s="77"/>
      <c r="X203" s="77"/>
      <c r="Y203" s="77"/>
      <c r="Z203" s="77"/>
      <c r="AA203" s="77"/>
      <c r="AB203" s="77"/>
      <c r="AC203" s="77"/>
      <c r="AD203" s="77"/>
      <c r="AE203" s="77"/>
      <c r="AF203" s="77"/>
      <c r="AG203" s="77"/>
      <c r="AH203" s="77"/>
      <c r="AI203" s="77"/>
      <c r="AJ203" s="77"/>
      <c r="AK203" s="77"/>
      <c r="AL203" s="77"/>
      <c r="AM203" s="77"/>
      <c r="AN203" s="77"/>
      <c r="AO203" s="77"/>
      <c r="AP203" s="77"/>
      <c r="AQ203" s="77"/>
      <c r="AR203" s="77"/>
      <c r="AS203" s="77"/>
      <c r="AT203" s="77"/>
      <c r="AU203" s="77"/>
      <c r="AV203" s="77"/>
      <c r="AW203" s="77"/>
      <c r="AX203" s="77"/>
      <c r="AY203" s="77"/>
      <c r="AZ203" s="77"/>
      <c r="BA203" s="77"/>
      <c r="BB203" s="77"/>
      <c r="BC203" s="77"/>
      <c r="BD203" s="77"/>
      <c r="BE203" s="77"/>
      <c r="BF203" s="77"/>
      <c r="BG203" s="77"/>
      <c r="BH203" s="77"/>
    </row>
    <row r="204" spans="1:60" x14ac:dyDescent="0.25">
      <c r="A204" s="77"/>
      <c r="J204" s="77"/>
      <c r="K204" s="77"/>
      <c r="L204" s="77"/>
      <c r="M204" s="77"/>
      <c r="N204" s="77"/>
      <c r="O204" s="77"/>
      <c r="P204" s="77"/>
      <c r="Q204" s="77"/>
      <c r="R204" s="77"/>
      <c r="S204" s="77"/>
      <c r="T204" s="77"/>
      <c r="U204" s="77"/>
      <c r="V204" s="77"/>
      <c r="W204" s="77"/>
      <c r="X204" s="77"/>
      <c r="Y204" s="77"/>
      <c r="Z204" s="77"/>
      <c r="AA204" s="77"/>
      <c r="AB204" s="77"/>
      <c r="AC204" s="77"/>
      <c r="AD204" s="77"/>
      <c r="AE204" s="77"/>
      <c r="AF204" s="77"/>
      <c r="AG204" s="77"/>
      <c r="AH204" s="77"/>
      <c r="AI204" s="77"/>
      <c r="AJ204" s="77"/>
      <c r="AK204" s="77"/>
      <c r="AL204" s="77"/>
      <c r="AM204" s="77"/>
      <c r="AN204" s="77"/>
      <c r="AO204" s="77"/>
      <c r="AP204" s="77"/>
      <c r="AQ204" s="77"/>
      <c r="AR204" s="77"/>
      <c r="AS204" s="77"/>
      <c r="AT204" s="77"/>
      <c r="AU204" s="77"/>
      <c r="AV204" s="77"/>
      <c r="AW204" s="77"/>
      <c r="AX204" s="77"/>
      <c r="AY204" s="77"/>
      <c r="AZ204" s="77"/>
      <c r="BA204" s="77"/>
      <c r="BB204" s="77"/>
      <c r="BC204" s="77"/>
      <c r="BD204" s="77"/>
      <c r="BE204" s="77"/>
      <c r="BF204" s="77"/>
      <c r="BG204" s="77"/>
      <c r="BH204" s="77"/>
    </row>
    <row r="205" spans="1:60" x14ac:dyDescent="0.25">
      <c r="A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77"/>
      <c r="AN205" s="77"/>
      <c r="AO205" s="77"/>
      <c r="AP205" s="77"/>
      <c r="AQ205" s="77"/>
      <c r="AR205" s="77"/>
      <c r="AS205" s="77"/>
      <c r="AT205" s="77"/>
      <c r="AU205" s="77"/>
      <c r="AV205" s="77"/>
      <c r="AW205" s="77"/>
      <c r="AX205" s="77"/>
      <c r="AY205" s="77"/>
      <c r="AZ205" s="77"/>
      <c r="BA205" s="77"/>
      <c r="BB205" s="77"/>
      <c r="BC205" s="77"/>
      <c r="BD205" s="77"/>
      <c r="BE205" s="77"/>
      <c r="BF205" s="77"/>
      <c r="BG205" s="77"/>
      <c r="BH205" s="77"/>
    </row>
    <row r="206" spans="1:60" x14ac:dyDescent="0.25">
      <c r="A206" s="77"/>
      <c r="J206" s="77"/>
      <c r="K206" s="77"/>
      <c r="L206" s="77"/>
      <c r="M206" s="77"/>
      <c r="N206" s="77"/>
      <c r="O206" s="77"/>
      <c r="P206" s="77"/>
      <c r="Q206" s="77"/>
      <c r="R206" s="77"/>
      <c r="S206" s="77"/>
      <c r="T206" s="77"/>
      <c r="U206" s="77"/>
      <c r="V206" s="77"/>
      <c r="W206" s="77"/>
      <c r="X206" s="77"/>
      <c r="Y206" s="77"/>
      <c r="Z206" s="77"/>
      <c r="AA206" s="77"/>
      <c r="AB206" s="77"/>
      <c r="AC206" s="77"/>
      <c r="AD206" s="77"/>
      <c r="AE206" s="77"/>
      <c r="AF206" s="77"/>
      <c r="AG206" s="77"/>
      <c r="AH206" s="77"/>
      <c r="AI206" s="77"/>
      <c r="AJ206" s="77"/>
      <c r="AK206" s="77"/>
      <c r="AL206" s="77"/>
      <c r="AM206" s="77"/>
      <c r="AN206" s="77"/>
      <c r="AO206" s="77"/>
      <c r="AP206" s="77"/>
      <c r="AQ206" s="77"/>
      <c r="AR206" s="77"/>
      <c r="AS206" s="77"/>
      <c r="AT206" s="77"/>
      <c r="AU206" s="77"/>
      <c r="AV206" s="77"/>
      <c r="AW206" s="77"/>
      <c r="AX206" s="77"/>
      <c r="AY206" s="77"/>
      <c r="AZ206" s="77"/>
      <c r="BA206" s="77"/>
      <c r="BB206" s="77"/>
      <c r="BC206" s="77"/>
      <c r="BD206" s="77"/>
      <c r="BE206" s="77"/>
      <c r="BF206" s="77"/>
      <c r="BG206" s="77"/>
      <c r="BH206" s="77"/>
    </row>
    <row r="207" spans="1:60" x14ac:dyDescent="0.25">
      <c r="A207" s="77"/>
      <c r="J207" s="77"/>
      <c r="K207" s="77"/>
      <c r="L207" s="77"/>
      <c r="M207" s="77"/>
      <c r="N207" s="77"/>
      <c r="O207" s="77"/>
      <c r="P207" s="77"/>
      <c r="Q207" s="77"/>
      <c r="R207" s="77"/>
      <c r="S207" s="77"/>
      <c r="T207" s="77"/>
      <c r="U207" s="77"/>
      <c r="V207" s="77"/>
      <c r="W207" s="77"/>
      <c r="X207" s="77"/>
      <c r="Y207" s="77"/>
      <c r="Z207" s="77"/>
      <c r="AA207" s="77"/>
      <c r="AB207" s="77"/>
      <c r="AC207" s="77"/>
      <c r="AD207" s="77"/>
      <c r="AE207" s="77"/>
      <c r="AF207" s="77"/>
      <c r="AG207" s="77"/>
      <c r="AH207" s="77"/>
      <c r="AI207" s="77"/>
      <c r="AJ207" s="77"/>
      <c r="AK207" s="77"/>
      <c r="AL207" s="77"/>
      <c r="AM207" s="77"/>
      <c r="AN207" s="77"/>
      <c r="AO207" s="77"/>
      <c r="AP207" s="77"/>
      <c r="AQ207" s="77"/>
      <c r="AR207" s="77"/>
      <c r="AS207" s="77"/>
      <c r="AT207" s="77"/>
      <c r="AU207" s="77"/>
      <c r="AV207" s="77"/>
      <c r="AW207" s="77"/>
      <c r="AX207" s="77"/>
      <c r="AY207" s="77"/>
      <c r="AZ207" s="77"/>
      <c r="BA207" s="77"/>
      <c r="BB207" s="77"/>
      <c r="BC207" s="77"/>
      <c r="BD207" s="77"/>
      <c r="BE207" s="77"/>
      <c r="BF207" s="77"/>
      <c r="BG207" s="77"/>
      <c r="BH207" s="77"/>
    </row>
    <row r="208" spans="1:60" x14ac:dyDescent="0.25">
      <c r="A208" s="77"/>
      <c r="J208" s="77"/>
      <c r="K208" s="77"/>
      <c r="L208" s="77"/>
      <c r="M208" s="77"/>
      <c r="N208" s="77"/>
      <c r="O208" s="77"/>
      <c r="P208" s="77"/>
      <c r="Q208" s="77"/>
      <c r="R208" s="77"/>
      <c r="S208" s="77"/>
      <c r="T208" s="77"/>
      <c r="U208" s="77"/>
      <c r="V208" s="77"/>
      <c r="W208" s="77"/>
      <c r="X208" s="77"/>
      <c r="Y208" s="77"/>
      <c r="Z208" s="77"/>
      <c r="AA208" s="77"/>
      <c r="AB208" s="77"/>
      <c r="AC208" s="77"/>
      <c r="AD208" s="77"/>
      <c r="AE208" s="77"/>
      <c r="AF208" s="77"/>
      <c r="AG208" s="77"/>
      <c r="AH208" s="77"/>
      <c r="AI208" s="77"/>
      <c r="AJ208" s="77"/>
      <c r="AK208" s="77"/>
      <c r="AL208" s="77"/>
      <c r="AM208" s="77"/>
      <c r="AN208" s="77"/>
      <c r="AO208" s="77"/>
      <c r="AP208" s="77"/>
      <c r="AQ208" s="77"/>
      <c r="AR208" s="77"/>
      <c r="AS208" s="77"/>
      <c r="AT208" s="77"/>
      <c r="AU208" s="77"/>
      <c r="AV208" s="77"/>
      <c r="AW208" s="77"/>
      <c r="AX208" s="77"/>
      <c r="AY208" s="77"/>
      <c r="AZ208" s="77"/>
      <c r="BA208" s="77"/>
      <c r="BB208" s="77"/>
      <c r="BC208" s="77"/>
      <c r="BD208" s="77"/>
      <c r="BE208" s="77"/>
      <c r="BF208" s="77"/>
      <c r="BG208" s="77"/>
      <c r="BH208" s="77"/>
    </row>
    <row r="209" spans="1:60" x14ac:dyDescent="0.25">
      <c r="A209" s="77"/>
      <c r="J209" s="77"/>
      <c r="K209" s="77"/>
      <c r="L209" s="77"/>
      <c r="M209" s="77"/>
      <c r="N209" s="77"/>
      <c r="O209" s="77"/>
      <c r="P209" s="77"/>
      <c r="Q209" s="77"/>
      <c r="R209" s="77"/>
      <c r="S209" s="77"/>
      <c r="T209" s="77"/>
      <c r="U209" s="77"/>
      <c r="V209" s="77"/>
      <c r="W209" s="77"/>
      <c r="X209" s="77"/>
      <c r="Y209" s="77"/>
      <c r="Z209" s="77"/>
      <c r="AA209" s="77"/>
      <c r="AB209" s="77"/>
      <c r="AC209" s="77"/>
      <c r="AD209" s="77"/>
      <c r="AE209" s="77"/>
      <c r="AF209" s="77"/>
      <c r="AG209" s="77"/>
      <c r="AH209" s="77"/>
      <c r="AI209" s="77"/>
      <c r="AJ209" s="77"/>
      <c r="AK209" s="77"/>
      <c r="AL209" s="77"/>
      <c r="AM209" s="77"/>
      <c r="AN209" s="77"/>
      <c r="AO209" s="77"/>
      <c r="AP209" s="77"/>
      <c r="AQ209" s="77"/>
      <c r="AR209" s="77"/>
      <c r="AS209" s="77"/>
      <c r="AT209" s="77"/>
      <c r="AU209" s="77"/>
      <c r="AV209" s="77"/>
      <c r="AW209" s="77"/>
      <c r="AX209" s="77"/>
      <c r="AY209" s="77"/>
      <c r="AZ209" s="77"/>
      <c r="BA209" s="77"/>
      <c r="BB209" s="77"/>
      <c r="BC209" s="77"/>
      <c r="BD209" s="77"/>
      <c r="BE209" s="77"/>
      <c r="BF209" s="77"/>
      <c r="BG209" s="77"/>
      <c r="BH209" s="77"/>
    </row>
    <row r="210" spans="1:60" x14ac:dyDescent="0.25">
      <c r="A210" s="77"/>
      <c r="J210" s="77"/>
      <c r="K210" s="77"/>
      <c r="L210" s="77"/>
      <c r="M210" s="77"/>
      <c r="N210" s="77"/>
      <c r="O210" s="77"/>
      <c r="P210" s="77"/>
      <c r="Q210" s="77"/>
      <c r="R210" s="77"/>
      <c r="S210" s="77"/>
      <c r="T210" s="77"/>
      <c r="U210" s="77"/>
      <c r="V210" s="77"/>
      <c r="W210" s="77"/>
      <c r="X210" s="77"/>
      <c r="Y210" s="77"/>
      <c r="Z210" s="77"/>
      <c r="AA210" s="77"/>
      <c r="AB210" s="77"/>
      <c r="AC210" s="77"/>
      <c r="AD210" s="77"/>
      <c r="AE210" s="77"/>
      <c r="AF210" s="77"/>
      <c r="AG210" s="77"/>
      <c r="AH210" s="77"/>
      <c r="AI210" s="77"/>
      <c r="AJ210" s="77"/>
      <c r="AK210" s="77"/>
      <c r="AL210" s="77"/>
      <c r="AM210" s="77"/>
      <c r="AN210" s="77"/>
      <c r="AO210" s="77"/>
      <c r="AP210" s="77"/>
      <c r="AQ210" s="77"/>
      <c r="AR210" s="77"/>
      <c r="AS210" s="77"/>
      <c r="AT210" s="77"/>
      <c r="AU210" s="77"/>
      <c r="AV210" s="77"/>
      <c r="AW210" s="77"/>
      <c r="AX210" s="77"/>
      <c r="AY210" s="77"/>
      <c r="AZ210" s="77"/>
      <c r="BA210" s="77"/>
      <c r="BB210" s="77"/>
      <c r="BC210" s="77"/>
      <c r="BD210" s="77"/>
      <c r="BE210" s="77"/>
      <c r="BF210" s="77"/>
      <c r="BG210" s="77"/>
      <c r="BH210" s="77"/>
    </row>
    <row r="211" spans="1:60" x14ac:dyDescent="0.25">
      <c r="A211" s="77"/>
      <c r="J211" s="77"/>
      <c r="K211" s="77"/>
      <c r="L211" s="77"/>
      <c r="M211" s="77"/>
      <c r="N211" s="77"/>
      <c r="O211" s="77"/>
      <c r="P211" s="77"/>
      <c r="Q211" s="77"/>
      <c r="R211" s="77"/>
      <c r="S211" s="77"/>
      <c r="T211" s="77"/>
      <c r="U211" s="77"/>
      <c r="V211" s="77"/>
      <c r="W211" s="77"/>
      <c r="X211" s="77"/>
      <c r="Y211" s="77"/>
      <c r="Z211" s="77"/>
      <c r="AA211" s="77"/>
      <c r="AB211" s="77"/>
      <c r="AC211" s="77"/>
      <c r="AD211" s="77"/>
      <c r="AE211" s="77"/>
      <c r="AF211" s="77"/>
      <c r="AG211" s="77"/>
      <c r="AH211" s="77"/>
      <c r="AI211" s="77"/>
      <c r="AJ211" s="77"/>
      <c r="AK211" s="77"/>
      <c r="AL211" s="77"/>
      <c r="AM211" s="77"/>
      <c r="AN211" s="77"/>
      <c r="AO211" s="77"/>
      <c r="AP211" s="77"/>
      <c r="AQ211" s="77"/>
      <c r="AR211" s="77"/>
      <c r="AS211" s="77"/>
      <c r="AT211" s="77"/>
      <c r="AU211" s="77"/>
      <c r="AV211" s="77"/>
      <c r="AW211" s="77"/>
      <c r="AX211" s="77"/>
      <c r="AY211" s="77"/>
      <c r="AZ211" s="77"/>
      <c r="BA211" s="77"/>
      <c r="BB211" s="77"/>
      <c r="BC211" s="77"/>
      <c r="BD211" s="77"/>
      <c r="BE211" s="77"/>
      <c r="BF211" s="77"/>
      <c r="BG211" s="77"/>
      <c r="BH211" s="77"/>
    </row>
    <row r="212" spans="1:60" x14ac:dyDescent="0.25">
      <c r="A212" s="77"/>
      <c r="J212" s="77"/>
      <c r="K212" s="77"/>
      <c r="L212" s="77"/>
      <c r="M212" s="77"/>
      <c r="N212" s="77"/>
      <c r="O212" s="77"/>
      <c r="P212" s="77"/>
      <c r="Q212" s="77"/>
      <c r="R212" s="77"/>
      <c r="S212" s="77"/>
      <c r="T212" s="77"/>
      <c r="U212" s="77"/>
      <c r="V212" s="77"/>
      <c r="W212" s="77"/>
      <c r="X212" s="77"/>
      <c r="Y212" s="77"/>
      <c r="Z212" s="77"/>
      <c r="AA212" s="77"/>
      <c r="AB212" s="77"/>
      <c r="AC212" s="77"/>
      <c r="AD212" s="77"/>
      <c r="AE212" s="77"/>
      <c r="AF212" s="77"/>
      <c r="AG212" s="77"/>
      <c r="AH212" s="77"/>
      <c r="AI212" s="77"/>
      <c r="AJ212" s="77"/>
      <c r="AK212" s="77"/>
      <c r="AL212" s="77"/>
      <c r="AM212" s="77"/>
      <c r="AN212" s="77"/>
      <c r="AO212" s="77"/>
      <c r="AP212" s="77"/>
      <c r="AQ212" s="77"/>
      <c r="AR212" s="77"/>
      <c r="AS212" s="77"/>
      <c r="AT212" s="77"/>
      <c r="AU212" s="77"/>
      <c r="AV212" s="77"/>
      <c r="AW212" s="77"/>
      <c r="AX212" s="77"/>
      <c r="AY212" s="77"/>
      <c r="AZ212" s="77"/>
      <c r="BA212" s="77"/>
      <c r="BB212" s="77"/>
      <c r="BC212" s="77"/>
      <c r="BD212" s="77"/>
      <c r="BE212" s="77"/>
      <c r="BF212" s="77"/>
      <c r="BG212" s="77"/>
      <c r="BH212" s="77"/>
    </row>
    <row r="213" spans="1:60" x14ac:dyDescent="0.25">
      <c r="A213" s="77"/>
      <c r="J213" s="77"/>
      <c r="K213" s="77"/>
      <c r="L213" s="77"/>
      <c r="M213" s="77"/>
      <c r="N213" s="77"/>
      <c r="O213" s="77"/>
      <c r="P213" s="77"/>
      <c r="Q213" s="77"/>
      <c r="R213" s="77"/>
      <c r="S213" s="77"/>
      <c r="T213" s="77"/>
      <c r="U213" s="77"/>
      <c r="V213" s="77"/>
      <c r="W213" s="77"/>
      <c r="X213" s="77"/>
      <c r="Y213" s="77"/>
      <c r="Z213" s="77"/>
      <c r="AA213" s="77"/>
      <c r="AB213" s="77"/>
      <c r="AC213" s="77"/>
      <c r="AD213" s="77"/>
      <c r="AE213" s="77"/>
      <c r="AF213" s="77"/>
      <c r="AG213" s="77"/>
      <c r="AH213" s="77"/>
      <c r="AI213" s="77"/>
      <c r="AJ213" s="77"/>
      <c r="AK213" s="77"/>
      <c r="AL213" s="77"/>
      <c r="AM213" s="77"/>
      <c r="AN213" s="77"/>
      <c r="AO213" s="77"/>
      <c r="AP213" s="77"/>
      <c r="AQ213" s="77"/>
      <c r="AR213" s="77"/>
      <c r="AS213" s="77"/>
      <c r="AT213" s="77"/>
      <c r="AU213" s="77"/>
      <c r="AV213" s="77"/>
      <c r="AW213" s="77"/>
      <c r="AX213" s="77"/>
      <c r="AY213" s="77"/>
      <c r="AZ213" s="77"/>
      <c r="BA213" s="77"/>
      <c r="BB213" s="77"/>
      <c r="BC213" s="77"/>
      <c r="BD213" s="77"/>
      <c r="BE213" s="77"/>
      <c r="BF213" s="77"/>
      <c r="BG213" s="77"/>
      <c r="BH213" s="77"/>
    </row>
    <row r="214" spans="1:60" x14ac:dyDescent="0.25">
      <c r="A214" s="77"/>
      <c r="J214" s="77"/>
      <c r="K214" s="77"/>
      <c r="L214" s="77"/>
      <c r="M214" s="77"/>
      <c r="N214" s="77"/>
      <c r="O214" s="77"/>
      <c r="P214" s="77"/>
      <c r="Q214" s="77"/>
      <c r="R214" s="77"/>
      <c r="S214" s="77"/>
      <c r="T214" s="77"/>
      <c r="U214" s="77"/>
      <c r="V214" s="77"/>
      <c r="W214" s="77"/>
      <c r="X214" s="77"/>
      <c r="Y214" s="77"/>
      <c r="Z214" s="77"/>
      <c r="AA214" s="77"/>
      <c r="AB214" s="77"/>
      <c r="AC214" s="77"/>
      <c r="AD214" s="77"/>
      <c r="AE214" s="77"/>
      <c r="AF214" s="77"/>
      <c r="AG214" s="77"/>
      <c r="AH214" s="77"/>
      <c r="AI214" s="77"/>
      <c r="AJ214" s="77"/>
      <c r="AK214" s="77"/>
      <c r="AL214" s="77"/>
      <c r="AM214" s="77"/>
      <c r="AN214" s="77"/>
      <c r="AO214" s="77"/>
      <c r="AP214" s="77"/>
      <c r="AQ214" s="77"/>
      <c r="AR214" s="77"/>
      <c r="AS214" s="77"/>
      <c r="AT214" s="77"/>
      <c r="AU214" s="77"/>
      <c r="AV214" s="77"/>
      <c r="AW214" s="77"/>
      <c r="AX214" s="77"/>
      <c r="AY214" s="77"/>
      <c r="AZ214" s="77"/>
      <c r="BA214" s="77"/>
      <c r="BB214" s="77"/>
      <c r="BC214" s="77"/>
      <c r="BD214" s="77"/>
      <c r="BE214" s="77"/>
      <c r="BF214" s="77"/>
      <c r="BG214" s="77"/>
      <c r="BH214" s="77"/>
    </row>
    <row r="215" spans="1:60" x14ac:dyDescent="0.25">
      <c r="A215" s="77"/>
      <c r="J215" s="77"/>
      <c r="K215" s="77"/>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J215" s="77"/>
      <c r="AK215" s="77"/>
      <c r="AL215" s="77"/>
      <c r="AM215" s="77"/>
      <c r="AN215" s="77"/>
      <c r="AO215" s="77"/>
      <c r="AP215" s="77"/>
      <c r="AQ215" s="77"/>
      <c r="AR215" s="77"/>
      <c r="AS215" s="77"/>
      <c r="AT215" s="77"/>
      <c r="AU215" s="77"/>
      <c r="AV215" s="77"/>
      <c r="AW215" s="77"/>
      <c r="AX215" s="77"/>
      <c r="AY215" s="77"/>
      <c r="AZ215" s="77"/>
      <c r="BA215" s="77"/>
      <c r="BB215" s="77"/>
      <c r="BC215" s="77"/>
      <c r="BD215" s="77"/>
      <c r="BE215" s="77"/>
      <c r="BF215" s="77"/>
      <c r="BG215" s="77"/>
      <c r="BH215" s="77"/>
    </row>
    <row r="216" spans="1:60" x14ac:dyDescent="0.25">
      <c r="A216" s="77"/>
      <c r="J216" s="77"/>
      <c r="K216" s="77"/>
      <c r="L216" s="77"/>
      <c r="M216" s="77"/>
      <c r="N216" s="77"/>
      <c r="O216" s="77"/>
      <c r="P216" s="77"/>
      <c r="Q216" s="77"/>
      <c r="R216" s="77"/>
      <c r="S216" s="77"/>
      <c r="T216" s="77"/>
      <c r="U216" s="77"/>
      <c r="V216" s="77"/>
      <c r="W216" s="77"/>
      <c r="X216" s="77"/>
      <c r="Y216" s="77"/>
      <c r="Z216" s="77"/>
      <c r="AA216" s="77"/>
      <c r="AB216" s="77"/>
      <c r="AC216" s="77"/>
      <c r="AD216" s="77"/>
      <c r="AE216" s="77"/>
      <c r="AF216" s="77"/>
      <c r="AG216" s="77"/>
      <c r="AH216" s="77"/>
      <c r="AI216" s="77"/>
      <c r="AJ216" s="77"/>
      <c r="AK216" s="77"/>
      <c r="AL216" s="77"/>
      <c r="AM216" s="77"/>
      <c r="AN216" s="77"/>
      <c r="AO216" s="77"/>
      <c r="AP216" s="77"/>
      <c r="AQ216" s="77"/>
      <c r="AR216" s="77"/>
      <c r="AS216" s="77"/>
      <c r="AT216" s="77"/>
      <c r="AU216" s="77"/>
      <c r="AV216" s="77"/>
      <c r="AW216" s="77"/>
      <c r="AX216" s="77"/>
      <c r="AY216" s="77"/>
      <c r="AZ216" s="77"/>
      <c r="BA216" s="77"/>
      <c r="BB216" s="77"/>
      <c r="BC216" s="77"/>
      <c r="BD216" s="77"/>
      <c r="BE216" s="77"/>
      <c r="BF216" s="77"/>
      <c r="BG216" s="77"/>
      <c r="BH216" s="77"/>
    </row>
    <row r="217" spans="1:60" x14ac:dyDescent="0.25">
      <c r="A217" s="77"/>
      <c r="J217" s="77"/>
      <c r="K217" s="77"/>
      <c r="L217" s="77"/>
      <c r="M217" s="77"/>
      <c r="N217" s="77"/>
      <c r="O217" s="77"/>
      <c r="P217" s="77"/>
      <c r="Q217" s="77"/>
      <c r="R217" s="77"/>
      <c r="S217" s="77"/>
      <c r="T217" s="77"/>
      <c r="U217" s="77"/>
      <c r="V217" s="77"/>
      <c r="W217" s="77"/>
      <c r="X217" s="77"/>
      <c r="Y217" s="77"/>
      <c r="Z217" s="77"/>
      <c r="AA217" s="77"/>
      <c r="AB217" s="77"/>
      <c r="AC217" s="77"/>
      <c r="AD217" s="77"/>
      <c r="AE217" s="77"/>
      <c r="AF217" s="77"/>
      <c r="AG217" s="77"/>
      <c r="AH217" s="77"/>
      <c r="AI217" s="77"/>
      <c r="AJ217" s="77"/>
      <c r="AK217" s="77"/>
      <c r="AL217" s="77"/>
      <c r="AM217" s="77"/>
      <c r="AN217" s="77"/>
      <c r="AO217" s="77"/>
      <c r="AP217" s="77"/>
      <c r="AQ217" s="77"/>
      <c r="AR217" s="77"/>
      <c r="AS217" s="77"/>
      <c r="AT217" s="77"/>
      <c r="AU217" s="77"/>
      <c r="AV217" s="77"/>
      <c r="AW217" s="77"/>
      <c r="AX217" s="77"/>
      <c r="AY217" s="77"/>
      <c r="AZ217" s="77"/>
      <c r="BA217" s="77"/>
      <c r="BB217" s="77"/>
      <c r="BC217" s="77"/>
      <c r="BD217" s="77"/>
      <c r="BE217" s="77"/>
      <c r="BF217" s="77"/>
      <c r="BG217" s="77"/>
      <c r="BH217" s="77"/>
    </row>
    <row r="218" spans="1:60" x14ac:dyDescent="0.25">
      <c r="A218" s="77"/>
      <c r="J218" s="77"/>
      <c r="K218" s="77"/>
      <c r="L218" s="77"/>
      <c r="M218" s="77"/>
      <c r="N218" s="77"/>
      <c r="O218" s="77"/>
      <c r="P218" s="77"/>
      <c r="Q218" s="77"/>
      <c r="R218" s="77"/>
      <c r="S218" s="77"/>
      <c r="T218" s="77"/>
      <c r="U218" s="77"/>
      <c r="V218" s="77"/>
      <c r="W218" s="77"/>
      <c r="X218" s="77"/>
      <c r="Y218" s="77"/>
      <c r="Z218" s="77"/>
      <c r="AA218" s="77"/>
      <c r="AB218" s="77"/>
      <c r="AC218" s="77"/>
      <c r="AD218" s="77"/>
      <c r="AE218" s="77"/>
      <c r="AF218" s="77"/>
      <c r="AG218" s="77"/>
      <c r="AH218" s="77"/>
      <c r="AI218" s="77"/>
      <c r="AJ218" s="77"/>
      <c r="AK218" s="77"/>
      <c r="AL218" s="77"/>
      <c r="AM218" s="77"/>
      <c r="AN218" s="77"/>
      <c r="AO218" s="77"/>
      <c r="AP218" s="77"/>
      <c r="AQ218" s="77"/>
      <c r="AR218" s="77"/>
      <c r="AS218" s="77"/>
      <c r="AT218" s="77"/>
      <c r="AU218" s="77"/>
      <c r="AV218" s="77"/>
      <c r="AW218" s="77"/>
      <c r="AX218" s="77"/>
      <c r="AY218" s="77"/>
      <c r="AZ218" s="77"/>
      <c r="BA218" s="77"/>
      <c r="BB218" s="77"/>
      <c r="BC218" s="77"/>
      <c r="BD218" s="77"/>
      <c r="BE218" s="77"/>
      <c r="BF218" s="77"/>
      <c r="BG218" s="77"/>
      <c r="BH218" s="77"/>
    </row>
    <row r="219" spans="1:60" x14ac:dyDescent="0.25">
      <c r="A219" s="77"/>
      <c r="J219" s="77"/>
      <c r="K219" s="77"/>
      <c r="L219" s="77"/>
      <c r="M219" s="77"/>
      <c r="N219" s="77"/>
      <c r="O219" s="77"/>
      <c r="P219" s="77"/>
      <c r="Q219" s="77"/>
      <c r="R219" s="77"/>
      <c r="S219" s="77"/>
      <c r="T219" s="77"/>
      <c r="U219" s="77"/>
      <c r="V219" s="77"/>
      <c r="W219" s="77"/>
      <c r="X219" s="77"/>
      <c r="Y219" s="77"/>
      <c r="Z219" s="77"/>
      <c r="AA219" s="77"/>
      <c r="AB219" s="77"/>
      <c r="AC219" s="77"/>
      <c r="AD219" s="77"/>
      <c r="AE219" s="77"/>
      <c r="AF219" s="77"/>
      <c r="AG219" s="77"/>
      <c r="AH219" s="77"/>
      <c r="AI219" s="77"/>
      <c r="AJ219" s="77"/>
      <c r="AK219" s="77"/>
      <c r="AL219" s="77"/>
      <c r="AM219" s="77"/>
      <c r="AN219" s="77"/>
      <c r="AO219" s="77"/>
      <c r="AP219" s="77"/>
      <c r="AQ219" s="77"/>
      <c r="AR219" s="77"/>
      <c r="AS219" s="77"/>
      <c r="AT219" s="77"/>
      <c r="AU219" s="77"/>
      <c r="AV219" s="77"/>
      <c r="AW219" s="77"/>
      <c r="AX219" s="77"/>
      <c r="AY219" s="77"/>
      <c r="AZ219" s="77"/>
      <c r="BA219" s="77"/>
      <c r="BB219" s="77"/>
      <c r="BC219" s="77"/>
      <c r="BD219" s="77"/>
      <c r="BE219" s="77"/>
      <c r="BF219" s="77"/>
      <c r="BG219" s="77"/>
      <c r="BH219" s="77"/>
    </row>
    <row r="220" spans="1:60" x14ac:dyDescent="0.25">
      <c r="A220" s="77"/>
      <c r="J220" s="77"/>
      <c r="K220" s="77"/>
      <c r="L220" s="77"/>
      <c r="M220" s="77"/>
      <c r="N220" s="77"/>
      <c r="O220" s="77"/>
      <c r="P220" s="77"/>
      <c r="Q220" s="77"/>
      <c r="R220" s="77"/>
      <c r="S220" s="77"/>
      <c r="T220" s="77"/>
      <c r="U220" s="77"/>
      <c r="V220" s="77"/>
      <c r="W220" s="77"/>
      <c r="X220" s="77"/>
      <c r="Y220" s="77"/>
      <c r="Z220" s="77"/>
      <c r="AA220" s="77"/>
      <c r="AB220" s="77"/>
      <c r="AC220" s="77"/>
      <c r="AD220" s="77"/>
      <c r="AE220" s="77"/>
      <c r="AF220" s="77"/>
      <c r="AG220" s="77"/>
      <c r="AH220" s="77"/>
      <c r="AI220" s="77"/>
      <c r="AJ220" s="77"/>
      <c r="AK220" s="77"/>
      <c r="AL220" s="77"/>
      <c r="AM220" s="77"/>
      <c r="AN220" s="77"/>
      <c r="AO220" s="77"/>
      <c r="AP220" s="77"/>
      <c r="AQ220" s="77"/>
      <c r="AR220" s="77"/>
      <c r="AS220" s="77"/>
      <c r="AT220" s="77"/>
      <c r="AU220" s="77"/>
      <c r="AV220" s="77"/>
      <c r="AW220" s="77"/>
      <c r="AX220" s="77"/>
      <c r="AY220" s="77"/>
      <c r="AZ220" s="77"/>
      <c r="BA220" s="77"/>
      <c r="BB220" s="77"/>
      <c r="BC220" s="77"/>
      <c r="BD220" s="77"/>
      <c r="BE220" s="77"/>
      <c r="BF220" s="77"/>
      <c r="BG220" s="77"/>
      <c r="BH220" s="77"/>
    </row>
    <row r="221" spans="1:60" x14ac:dyDescent="0.25">
      <c r="A221" s="77"/>
      <c r="J221" s="77"/>
      <c r="K221" s="77"/>
      <c r="L221" s="77"/>
      <c r="M221" s="77"/>
      <c r="N221" s="77"/>
      <c r="O221" s="77"/>
      <c r="P221" s="77"/>
      <c r="Q221" s="77"/>
      <c r="R221" s="77"/>
      <c r="S221" s="77"/>
      <c r="T221" s="77"/>
      <c r="U221" s="77"/>
      <c r="V221" s="77"/>
      <c r="W221" s="77"/>
      <c r="X221" s="77"/>
      <c r="Y221" s="77"/>
      <c r="Z221" s="77"/>
      <c r="AA221" s="77"/>
      <c r="AB221" s="77"/>
      <c r="AC221" s="77"/>
      <c r="AD221" s="77"/>
      <c r="AE221" s="77"/>
      <c r="AF221" s="77"/>
      <c r="AG221" s="77"/>
      <c r="AH221" s="77"/>
      <c r="AI221" s="77"/>
      <c r="AJ221" s="77"/>
      <c r="AK221" s="77"/>
      <c r="AL221" s="77"/>
      <c r="AM221" s="77"/>
      <c r="AN221" s="77"/>
      <c r="AO221" s="77"/>
      <c r="AP221" s="77"/>
      <c r="AQ221" s="77"/>
      <c r="AR221" s="77"/>
      <c r="AS221" s="77"/>
      <c r="AT221" s="77"/>
      <c r="AU221" s="77"/>
      <c r="AV221" s="77"/>
      <c r="AW221" s="77"/>
      <c r="AX221" s="77"/>
      <c r="AY221" s="77"/>
      <c r="AZ221" s="77"/>
      <c r="BA221" s="77"/>
      <c r="BB221" s="77"/>
      <c r="BC221" s="77"/>
      <c r="BD221" s="77"/>
      <c r="BE221" s="77"/>
      <c r="BF221" s="77"/>
      <c r="BG221" s="77"/>
      <c r="BH221" s="77"/>
    </row>
    <row r="222" spans="1:60" x14ac:dyDescent="0.25">
      <c r="A222" s="77"/>
      <c r="J222" s="77"/>
      <c r="K222" s="77"/>
      <c r="L222" s="77"/>
      <c r="M222" s="77"/>
      <c r="N222" s="77"/>
      <c r="O222" s="77"/>
      <c r="P222" s="77"/>
      <c r="Q222" s="77"/>
      <c r="R222" s="77"/>
      <c r="S222" s="77"/>
      <c r="T222" s="77"/>
      <c r="U222" s="77"/>
      <c r="V222" s="77"/>
      <c r="W222" s="77"/>
      <c r="X222" s="77"/>
      <c r="Y222" s="77"/>
      <c r="Z222" s="77"/>
      <c r="AA222" s="77"/>
      <c r="AB222" s="77"/>
      <c r="AC222" s="77"/>
      <c r="AD222" s="77"/>
      <c r="AE222" s="77"/>
      <c r="AF222" s="77"/>
      <c r="AG222" s="77"/>
      <c r="AH222" s="77"/>
      <c r="AI222" s="77"/>
      <c r="AJ222" s="77"/>
      <c r="AK222" s="77"/>
      <c r="AL222" s="77"/>
      <c r="AM222" s="77"/>
      <c r="AN222" s="77"/>
      <c r="AO222" s="77"/>
      <c r="AP222" s="77"/>
      <c r="AQ222" s="77"/>
      <c r="AR222" s="77"/>
      <c r="AS222" s="77"/>
      <c r="AT222" s="77"/>
      <c r="AU222" s="77"/>
      <c r="AV222" s="77"/>
      <c r="AW222" s="77"/>
      <c r="AX222" s="77"/>
      <c r="AY222" s="77"/>
      <c r="AZ222" s="77"/>
      <c r="BA222" s="77"/>
      <c r="BB222" s="77"/>
      <c r="BC222" s="77"/>
      <c r="BD222" s="77"/>
      <c r="BE222" s="77"/>
      <c r="BF222" s="77"/>
      <c r="BG222" s="77"/>
      <c r="BH222" s="77"/>
    </row>
    <row r="223" spans="1:60" x14ac:dyDescent="0.25">
      <c r="A223" s="77"/>
      <c r="J223" s="77"/>
      <c r="K223" s="77"/>
      <c r="L223" s="77"/>
      <c r="M223" s="77"/>
      <c r="N223" s="77"/>
      <c r="O223" s="77"/>
      <c r="P223" s="77"/>
      <c r="Q223" s="77"/>
      <c r="R223" s="77"/>
      <c r="S223" s="77"/>
      <c r="T223" s="77"/>
      <c r="U223" s="77"/>
      <c r="V223" s="77"/>
      <c r="W223" s="77"/>
      <c r="X223" s="77"/>
      <c r="Y223" s="77"/>
      <c r="Z223" s="77"/>
      <c r="AA223" s="77"/>
      <c r="AB223" s="77"/>
      <c r="AC223" s="77"/>
      <c r="AD223" s="77"/>
      <c r="AE223" s="77"/>
      <c r="AF223" s="77"/>
      <c r="AG223" s="77"/>
      <c r="AH223" s="77"/>
      <c r="AI223" s="77"/>
      <c r="AJ223" s="77"/>
      <c r="AK223" s="77"/>
      <c r="AL223" s="77"/>
      <c r="AM223" s="77"/>
      <c r="AN223" s="77"/>
      <c r="AO223" s="77"/>
      <c r="AP223" s="77"/>
      <c r="AQ223" s="77"/>
      <c r="AR223" s="77"/>
      <c r="AS223" s="77"/>
      <c r="AT223" s="77"/>
      <c r="AU223" s="77"/>
      <c r="AV223" s="77"/>
      <c r="AW223" s="77"/>
      <c r="AX223" s="77"/>
      <c r="AY223" s="77"/>
      <c r="AZ223" s="77"/>
      <c r="BA223" s="77"/>
      <c r="BB223" s="77"/>
      <c r="BC223" s="77"/>
      <c r="BD223" s="77"/>
      <c r="BE223" s="77"/>
      <c r="BF223" s="77"/>
      <c r="BG223" s="77"/>
      <c r="BH223" s="77"/>
    </row>
    <row r="224" spans="1:60" x14ac:dyDescent="0.25">
      <c r="A224" s="77"/>
      <c r="J224" s="77"/>
      <c r="K224" s="77"/>
      <c r="L224" s="77"/>
      <c r="M224" s="77"/>
      <c r="N224" s="77"/>
      <c r="O224" s="77"/>
      <c r="P224" s="77"/>
      <c r="Q224" s="77"/>
      <c r="R224" s="77"/>
      <c r="S224" s="77"/>
      <c r="T224" s="77"/>
      <c r="U224" s="77"/>
      <c r="V224" s="77"/>
      <c r="W224" s="77"/>
      <c r="X224" s="77"/>
      <c r="Y224" s="77"/>
      <c r="Z224" s="77"/>
      <c r="AA224" s="77"/>
      <c r="AB224" s="77"/>
      <c r="AC224" s="77"/>
      <c r="AD224" s="77"/>
      <c r="AE224" s="77"/>
      <c r="AF224" s="77"/>
      <c r="AG224" s="77"/>
      <c r="AH224" s="77"/>
      <c r="AI224" s="77"/>
      <c r="AJ224" s="77"/>
      <c r="AK224" s="77"/>
      <c r="AL224" s="77"/>
      <c r="AM224" s="77"/>
      <c r="AN224" s="77"/>
      <c r="AO224" s="77"/>
      <c r="AP224" s="77"/>
      <c r="AQ224" s="77"/>
      <c r="AR224" s="77"/>
      <c r="AS224" s="77"/>
      <c r="AT224" s="77"/>
      <c r="AU224" s="77"/>
      <c r="AV224" s="77"/>
      <c r="AW224" s="77"/>
      <c r="AX224" s="77"/>
      <c r="AY224" s="77"/>
      <c r="AZ224" s="77"/>
      <c r="BA224" s="77"/>
      <c r="BB224" s="77"/>
      <c r="BC224" s="77"/>
      <c r="BD224" s="77"/>
      <c r="BE224" s="77"/>
      <c r="BF224" s="77"/>
      <c r="BG224" s="77"/>
      <c r="BH224" s="77"/>
    </row>
    <row r="225" spans="1:60" x14ac:dyDescent="0.25">
      <c r="A225" s="77"/>
      <c r="J225" s="77"/>
      <c r="K225" s="77"/>
      <c r="L225" s="77"/>
      <c r="M225" s="77"/>
      <c r="N225" s="77"/>
      <c r="O225" s="77"/>
      <c r="P225" s="77"/>
      <c r="Q225" s="77"/>
      <c r="R225" s="77"/>
      <c r="S225" s="77"/>
      <c r="T225" s="77"/>
      <c r="U225" s="77"/>
      <c r="V225" s="77"/>
      <c r="W225" s="77"/>
      <c r="X225" s="77"/>
      <c r="Y225" s="77"/>
      <c r="Z225" s="77"/>
      <c r="AA225" s="77"/>
      <c r="AB225" s="77"/>
      <c r="AC225" s="77"/>
      <c r="AD225" s="77"/>
      <c r="AE225" s="77"/>
      <c r="AF225" s="77"/>
      <c r="AG225" s="77"/>
      <c r="AH225" s="77"/>
      <c r="AI225" s="77"/>
      <c r="AJ225" s="77"/>
      <c r="AK225" s="77"/>
      <c r="AL225" s="77"/>
      <c r="AM225" s="77"/>
      <c r="AN225" s="77"/>
      <c r="AO225" s="77"/>
      <c r="AP225" s="77"/>
      <c r="AQ225" s="77"/>
      <c r="AR225" s="77"/>
      <c r="AS225" s="77"/>
      <c r="AT225" s="77"/>
      <c r="AU225" s="77"/>
      <c r="AV225" s="77"/>
      <c r="AW225" s="77"/>
      <c r="AX225" s="77"/>
      <c r="AY225" s="77"/>
      <c r="AZ225" s="77"/>
      <c r="BA225" s="77"/>
      <c r="BB225" s="77"/>
      <c r="BC225" s="77"/>
      <c r="BD225" s="77"/>
      <c r="BE225" s="77"/>
      <c r="BF225" s="77"/>
      <c r="BG225" s="77"/>
      <c r="BH225" s="77"/>
    </row>
    <row r="226" spans="1:60" x14ac:dyDescent="0.25">
      <c r="A226" s="77"/>
      <c r="J226" s="77"/>
      <c r="K226" s="77"/>
      <c r="L226" s="77"/>
      <c r="M226" s="77"/>
      <c r="N226" s="77"/>
      <c r="O226" s="77"/>
      <c r="P226" s="77"/>
      <c r="Q226" s="77"/>
      <c r="R226" s="77"/>
      <c r="S226" s="77"/>
      <c r="T226" s="77"/>
      <c r="U226" s="77"/>
      <c r="V226" s="77"/>
      <c r="W226" s="77"/>
      <c r="X226" s="77"/>
      <c r="Y226" s="77"/>
      <c r="Z226" s="77"/>
      <c r="AA226" s="77"/>
      <c r="AB226" s="77"/>
      <c r="AC226" s="77"/>
      <c r="AD226" s="77"/>
      <c r="AE226" s="77"/>
      <c r="AF226" s="77"/>
      <c r="AG226" s="77"/>
      <c r="AH226" s="77"/>
      <c r="AI226" s="77"/>
      <c r="AJ226" s="77"/>
      <c r="AK226" s="77"/>
      <c r="AL226" s="77"/>
      <c r="AM226" s="77"/>
      <c r="AN226" s="77"/>
      <c r="AO226" s="77"/>
      <c r="AP226" s="77"/>
      <c r="AQ226" s="77"/>
      <c r="AR226" s="77"/>
      <c r="AS226" s="77"/>
      <c r="AT226" s="77"/>
      <c r="AU226" s="77"/>
      <c r="AV226" s="77"/>
      <c r="AW226" s="77"/>
      <c r="AX226" s="77"/>
      <c r="AY226" s="77"/>
      <c r="AZ226" s="77"/>
      <c r="BA226" s="77"/>
      <c r="BB226" s="77"/>
      <c r="BC226" s="77"/>
      <c r="BD226" s="77"/>
      <c r="BE226" s="77"/>
      <c r="BF226" s="77"/>
      <c r="BG226" s="77"/>
      <c r="BH226" s="77"/>
    </row>
    <row r="227" spans="1:60" x14ac:dyDescent="0.25">
      <c r="A227" s="77"/>
      <c r="J227" s="77"/>
      <c r="K227" s="77"/>
      <c r="L227" s="77"/>
      <c r="M227" s="77"/>
      <c r="N227" s="77"/>
      <c r="O227" s="77"/>
      <c r="P227" s="77"/>
      <c r="Q227" s="77"/>
      <c r="R227" s="77"/>
      <c r="S227" s="77"/>
      <c r="T227" s="77"/>
      <c r="U227" s="77"/>
      <c r="V227" s="77"/>
      <c r="W227" s="77"/>
      <c r="X227" s="77"/>
      <c r="Y227" s="77"/>
      <c r="Z227" s="77"/>
      <c r="AA227" s="77"/>
      <c r="AB227" s="77"/>
      <c r="AC227" s="77"/>
      <c r="AD227" s="77"/>
      <c r="AE227" s="77"/>
      <c r="AF227" s="77"/>
      <c r="AG227" s="77"/>
      <c r="AH227" s="77"/>
      <c r="AI227" s="77"/>
      <c r="AJ227" s="77"/>
      <c r="AK227" s="77"/>
      <c r="AL227" s="77"/>
      <c r="AM227" s="77"/>
      <c r="AN227" s="77"/>
      <c r="AO227" s="77"/>
      <c r="AP227" s="77"/>
      <c r="AQ227" s="77"/>
      <c r="AR227" s="77"/>
      <c r="AS227" s="77"/>
      <c r="AT227" s="77"/>
      <c r="AU227" s="77"/>
      <c r="AV227" s="77"/>
      <c r="AW227" s="77"/>
      <c r="AX227" s="77"/>
      <c r="AY227" s="77"/>
      <c r="AZ227" s="77"/>
      <c r="BA227" s="77"/>
      <c r="BB227" s="77"/>
      <c r="BC227" s="77"/>
      <c r="BD227" s="77"/>
      <c r="BE227" s="77"/>
      <c r="BF227" s="77"/>
      <c r="BG227" s="77"/>
      <c r="BH227" s="77"/>
    </row>
    <row r="228" spans="1:60" x14ac:dyDescent="0.25">
      <c r="A228" s="77"/>
      <c r="J228" s="77"/>
      <c r="K228" s="77"/>
      <c r="L228" s="77"/>
      <c r="M228" s="77"/>
      <c r="N228" s="77"/>
      <c r="O228" s="77"/>
      <c r="P228" s="77"/>
      <c r="Q228" s="77"/>
      <c r="R228" s="77"/>
      <c r="S228" s="77"/>
      <c r="T228" s="77"/>
      <c r="U228" s="77"/>
      <c r="V228" s="77"/>
      <c r="W228" s="77"/>
      <c r="X228" s="77"/>
      <c r="Y228" s="77"/>
      <c r="Z228" s="77"/>
      <c r="AA228" s="77"/>
      <c r="AB228" s="77"/>
      <c r="AC228" s="77"/>
      <c r="AD228" s="77"/>
      <c r="AE228" s="77"/>
      <c r="AF228" s="77"/>
      <c r="AG228" s="77"/>
      <c r="AH228" s="77"/>
      <c r="AI228" s="77"/>
      <c r="AJ228" s="77"/>
      <c r="AK228" s="77"/>
      <c r="AL228" s="77"/>
      <c r="AM228" s="77"/>
      <c r="AN228" s="77"/>
      <c r="AO228" s="77"/>
      <c r="AP228" s="77"/>
      <c r="AQ228" s="77"/>
      <c r="AR228" s="77"/>
      <c r="AS228" s="77"/>
      <c r="AT228" s="77"/>
      <c r="AU228" s="77"/>
      <c r="AV228" s="77"/>
      <c r="AW228" s="77"/>
      <c r="AX228" s="77"/>
      <c r="AY228" s="77"/>
      <c r="AZ228" s="77"/>
      <c r="BA228" s="77"/>
      <c r="BB228" s="77"/>
      <c r="BC228" s="77"/>
      <c r="BD228" s="77"/>
      <c r="BE228" s="77"/>
      <c r="BF228" s="77"/>
      <c r="BG228" s="77"/>
      <c r="BH228" s="77"/>
    </row>
    <row r="229" spans="1:60" x14ac:dyDescent="0.25">
      <c r="A229" s="77"/>
      <c r="J229" s="77"/>
      <c r="K229" s="77"/>
      <c r="L229" s="77"/>
      <c r="M229" s="77"/>
      <c r="N229" s="77"/>
      <c r="O229" s="77"/>
      <c r="P229" s="77"/>
      <c r="Q229" s="77"/>
      <c r="R229" s="77"/>
      <c r="S229" s="77"/>
      <c r="T229" s="77"/>
      <c r="U229" s="77"/>
      <c r="V229" s="77"/>
      <c r="W229" s="77"/>
      <c r="X229" s="77"/>
      <c r="Y229" s="77"/>
      <c r="Z229" s="77"/>
      <c r="AA229" s="77"/>
      <c r="AB229" s="77"/>
      <c r="AC229" s="77"/>
      <c r="AD229" s="77"/>
      <c r="AE229" s="77"/>
      <c r="AF229" s="77"/>
      <c r="AG229" s="77"/>
      <c r="AH229" s="77"/>
      <c r="AI229" s="77"/>
      <c r="AJ229" s="77"/>
      <c r="AK229" s="77"/>
      <c r="AL229" s="77"/>
      <c r="AM229" s="77"/>
      <c r="AN229" s="77"/>
      <c r="AO229" s="77"/>
      <c r="AP229" s="77"/>
      <c r="AQ229" s="77"/>
      <c r="AR229" s="77"/>
      <c r="AS229" s="77"/>
      <c r="AT229" s="77"/>
      <c r="AU229" s="77"/>
      <c r="AV229" s="77"/>
      <c r="AW229" s="77"/>
      <c r="AX229" s="77"/>
      <c r="AY229" s="77"/>
      <c r="AZ229" s="77"/>
      <c r="BA229" s="77"/>
      <c r="BB229" s="77"/>
      <c r="BC229" s="77"/>
      <c r="BD229" s="77"/>
      <c r="BE229" s="77"/>
      <c r="BF229" s="77"/>
      <c r="BG229" s="77"/>
      <c r="BH229" s="77"/>
    </row>
    <row r="230" spans="1:60" x14ac:dyDescent="0.25">
      <c r="A230" s="77"/>
      <c r="J230" s="77"/>
      <c r="K230" s="77"/>
      <c r="L230" s="77"/>
      <c r="M230" s="77"/>
      <c r="N230" s="77"/>
      <c r="O230" s="77"/>
      <c r="P230" s="77"/>
      <c r="Q230" s="77"/>
      <c r="R230" s="77"/>
      <c r="S230" s="77"/>
      <c r="T230" s="77"/>
      <c r="U230" s="77"/>
      <c r="V230" s="77"/>
      <c r="W230" s="77"/>
      <c r="X230" s="77"/>
      <c r="Y230" s="77"/>
      <c r="Z230" s="77"/>
      <c r="AA230" s="77"/>
      <c r="AB230" s="77"/>
      <c r="AC230" s="77"/>
      <c r="AD230" s="77"/>
      <c r="AE230" s="77"/>
      <c r="AF230" s="77"/>
      <c r="AG230" s="77"/>
      <c r="AH230" s="77"/>
      <c r="AI230" s="77"/>
      <c r="AJ230" s="77"/>
      <c r="AK230" s="77"/>
      <c r="AL230" s="77"/>
      <c r="AM230" s="77"/>
      <c r="AN230" s="77"/>
      <c r="AO230" s="77"/>
      <c r="AP230" s="77"/>
      <c r="AQ230" s="77"/>
      <c r="AR230" s="77"/>
      <c r="AS230" s="77"/>
      <c r="AT230" s="77"/>
      <c r="AU230" s="77"/>
      <c r="AV230" s="77"/>
      <c r="AW230" s="77"/>
      <c r="AX230" s="77"/>
      <c r="AY230" s="77"/>
      <c r="AZ230" s="77"/>
      <c r="BA230" s="77"/>
      <c r="BB230" s="77"/>
      <c r="BC230" s="77"/>
      <c r="BD230" s="77"/>
      <c r="BE230" s="77"/>
      <c r="BF230" s="77"/>
      <c r="BG230" s="77"/>
      <c r="BH230" s="77"/>
    </row>
    <row r="231" spans="1:60" x14ac:dyDescent="0.25">
      <c r="A231" s="77"/>
      <c r="J231" s="77"/>
      <c r="K231" s="77"/>
      <c r="L231" s="77"/>
      <c r="M231" s="77"/>
      <c r="N231" s="77"/>
      <c r="O231" s="77"/>
      <c r="P231" s="77"/>
      <c r="Q231" s="77"/>
      <c r="R231" s="77"/>
      <c r="S231" s="77"/>
      <c r="T231" s="77"/>
      <c r="U231" s="77"/>
      <c r="V231" s="77"/>
      <c r="W231" s="77"/>
      <c r="X231" s="77"/>
      <c r="Y231" s="77"/>
      <c r="Z231" s="77"/>
      <c r="AA231" s="77"/>
      <c r="AB231" s="77"/>
      <c r="AC231" s="77"/>
      <c r="AD231" s="77"/>
      <c r="AE231" s="77"/>
      <c r="AF231" s="77"/>
      <c r="AG231" s="77"/>
      <c r="AH231" s="77"/>
      <c r="AI231" s="77"/>
      <c r="AJ231" s="77"/>
      <c r="AK231" s="77"/>
      <c r="AL231" s="77"/>
      <c r="AM231" s="77"/>
      <c r="AN231" s="77"/>
      <c r="AO231" s="77"/>
      <c r="AP231" s="77"/>
      <c r="AQ231" s="77"/>
      <c r="AR231" s="77"/>
      <c r="AS231" s="77"/>
      <c r="AT231" s="77"/>
      <c r="AU231" s="77"/>
      <c r="AV231" s="77"/>
      <c r="AW231" s="77"/>
      <c r="AX231" s="77"/>
      <c r="AY231" s="77"/>
      <c r="AZ231" s="77"/>
      <c r="BA231" s="77"/>
      <c r="BB231" s="77"/>
      <c r="BC231" s="77"/>
      <c r="BD231" s="77"/>
      <c r="BE231" s="77"/>
      <c r="BF231" s="77"/>
      <c r="BG231" s="77"/>
      <c r="BH231" s="77"/>
    </row>
    <row r="232" spans="1:60" x14ac:dyDescent="0.25">
      <c r="A232" s="77"/>
      <c r="J232" s="77"/>
      <c r="K232" s="77"/>
      <c r="L232" s="77"/>
      <c r="M232" s="77"/>
      <c r="N232" s="77"/>
      <c r="O232" s="77"/>
      <c r="P232" s="77"/>
      <c r="Q232" s="77"/>
      <c r="R232" s="77"/>
      <c r="S232" s="77"/>
      <c r="T232" s="77"/>
      <c r="U232" s="77"/>
      <c r="V232" s="77"/>
      <c r="W232" s="77"/>
      <c r="X232" s="77"/>
      <c r="Y232" s="77"/>
      <c r="Z232" s="77"/>
      <c r="AA232" s="77"/>
      <c r="AB232" s="77"/>
      <c r="AC232" s="77"/>
      <c r="AD232" s="77"/>
      <c r="AE232" s="77"/>
      <c r="AF232" s="77"/>
      <c r="AG232" s="77"/>
      <c r="AH232" s="77"/>
      <c r="AI232" s="77"/>
      <c r="AJ232" s="77"/>
      <c r="AK232" s="77"/>
      <c r="AL232" s="77"/>
      <c r="AM232" s="77"/>
      <c r="AN232" s="77"/>
      <c r="AO232" s="77"/>
      <c r="AP232" s="77"/>
      <c r="AQ232" s="77"/>
      <c r="AR232" s="77"/>
      <c r="AS232" s="77"/>
      <c r="AT232" s="77"/>
      <c r="AU232" s="77"/>
      <c r="AV232" s="77"/>
      <c r="AW232" s="77"/>
      <c r="AX232" s="77"/>
      <c r="AY232" s="77"/>
      <c r="AZ232" s="77"/>
      <c r="BA232" s="77"/>
      <c r="BB232" s="77"/>
      <c r="BC232" s="77"/>
      <c r="BD232" s="77"/>
      <c r="BE232" s="77"/>
      <c r="BF232" s="77"/>
      <c r="BG232" s="77"/>
      <c r="BH232" s="77"/>
    </row>
    <row r="233" spans="1:60" x14ac:dyDescent="0.25">
      <c r="A233" s="77"/>
      <c r="J233" s="77"/>
      <c r="K233" s="77"/>
      <c r="L233" s="77"/>
      <c r="M233" s="77"/>
      <c r="N233" s="77"/>
      <c r="O233" s="77"/>
      <c r="P233" s="77"/>
      <c r="Q233" s="77"/>
      <c r="R233" s="77"/>
      <c r="S233" s="77"/>
      <c r="T233" s="77"/>
      <c r="U233" s="77"/>
      <c r="V233" s="77"/>
      <c r="W233" s="77"/>
      <c r="X233" s="77"/>
      <c r="Y233" s="77"/>
      <c r="Z233" s="77"/>
      <c r="AA233" s="77"/>
      <c r="AB233" s="77"/>
      <c r="AC233" s="77"/>
      <c r="AD233" s="77"/>
      <c r="AE233" s="77"/>
      <c r="AF233" s="77"/>
      <c r="AG233" s="77"/>
      <c r="AH233" s="77"/>
      <c r="AI233" s="77"/>
      <c r="AJ233" s="77"/>
      <c r="AK233" s="77"/>
      <c r="AL233" s="77"/>
      <c r="AM233" s="77"/>
      <c r="AN233" s="77"/>
      <c r="AO233" s="77"/>
      <c r="AP233" s="77"/>
      <c r="AQ233" s="77"/>
      <c r="AR233" s="77"/>
      <c r="AS233" s="77"/>
      <c r="AT233" s="77"/>
      <c r="AU233" s="77"/>
      <c r="AV233" s="77"/>
      <c r="AW233" s="77"/>
      <c r="AX233" s="77"/>
      <c r="AY233" s="77"/>
      <c r="AZ233" s="77"/>
      <c r="BA233" s="77"/>
      <c r="BB233" s="77"/>
      <c r="BC233" s="77"/>
      <c r="BD233" s="77"/>
      <c r="BE233" s="77"/>
      <c r="BF233" s="77"/>
      <c r="BG233" s="77"/>
      <c r="BH233" s="77"/>
    </row>
    <row r="234" spans="1:60" x14ac:dyDescent="0.25">
      <c r="A234" s="77"/>
      <c r="J234" s="77"/>
      <c r="K234" s="77"/>
      <c r="L234" s="77"/>
      <c r="M234" s="77"/>
      <c r="N234" s="77"/>
      <c r="O234" s="77"/>
      <c r="P234" s="77"/>
      <c r="Q234" s="77"/>
      <c r="R234" s="77"/>
      <c r="S234" s="77"/>
      <c r="T234" s="77"/>
      <c r="U234" s="77"/>
      <c r="V234" s="77"/>
      <c r="W234" s="77"/>
      <c r="X234" s="77"/>
      <c r="Y234" s="77"/>
      <c r="Z234" s="77"/>
      <c r="AA234" s="77"/>
      <c r="AB234" s="77"/>
      <c r="AC234" s="77"/>
      <c r="AD234" s="77"/>
      <c r="AE234" s="77"/>
      <c r="AF234" s="77"/>
      <c r="AG234" s="77"/>
      <c r="AH234" s="77"/>
      <c r="AI234" s="77"/>
      <c r="AJ234" s="77"/>
      <c r="AK234" s="77"/>
      <c r="AL234" s="77"/>
      <c r="AM234" s="77"/>
      <c r="AN234" s="77"/>
      <c r="AO234" s="77"/>
      <c r="AP234" s="77"/>
      <c r="AQ234" s="77"/>
      <c r="AR234" s="77"/>
      <c r="AS234" s="77"/>
      <c r="AT234" s="77"/>
      <c r="AU234" s="77"/>
      <c r="AV234" s="77"/>
      <c r="AW234" s="77"/>
      <c r="AX234" s="77"/>
      <c r="AY234" s="77"/>
      <c r="AZ234" s="77"/>
      <c r="BA234" s="77"/>
      <c r="BB234" s="77"/>
      <c r="BC234" s="77"/>
      <c r="BD234" s="77"/>
      <c r="BE234" s="77"/>
      <c r="BF234" s="77"/>
      <c r="BG234" s="77"/>
      <c r="BH234" s="77"/>
    </row>
    <row r="235" spans="1:60" x14ac:dyDescent="0.25">
      <c r="A235" s="77"/>
      <c r="J235" s="77"/>
      <c r="K235" s="77"/>
      <c r="L235" s="77"/>
      <c r="M235" s="77"/>
      <c r="N235" s="77"/>
      <c r="O235" s="77"/>
      <c r="P235" s="77"/>
      <c r="Q235" s="77"/>
      <c r="R235" s="77"/>
      <c r="S235" s="77"/>
      <c r="T235" s="77"/>
      <c r="U235" s="77"/>
      <c r="V235" s="77"/>
      <c r="W235" s="77"/>
      <c r="X235" s="77"/>
      <c r="Y235" s="77"/>
      <c r="Z235" s="77"/>
      <c r="AA235" s="77"/>
      <c r="AB235" s="77"/>
      <c r="AC235" s="77"/>
      <c r="AD235" s="77"/>
      <c r="AE235" s="77"/>
      <c r="AF235" s="77"/>
      <c r="AG235" s="77"/>
      <c r="AH235" s="77"/>
      <c r="AI235" s="77"/>
      <c r="AJ235" s="77"/>
      <c r="AK235" s="77"/>
      <c r="AL235" s="77"/>
      <c r="AM235" s="77"/>
      <c r="AN235" s="77"/>
      <c r="AO235" s="77"/>
      <c r="AP235" s="77"/>
      <c r="AQ235" s="77"/>
      <c r="AR235" s="77"/>
      <c r="AS235" s="77"/>
      <c r="AT235" s="77"/>
      <c r="AU235" s="77"/>
      <c r="AV235" s="77"/>
      <c r="AW235" s="77"/>
      <c r="AX235" s="77"/>
      <c r="AY235" s="77"/>
      <c r="AZ235" s="77"/>
      <c r="BA235" s="77"/>
      <c r="BB235" s="77"/>
      <c r="BC235" s="77"/>
      <c r="BD235" s="77"/>
      <c r="BE235" s="77"/>
      <c r="BF235" s="77"/>
      <c r="BG235" s="77"/>
      <c r="BH235" s="77"/>
    </row>
    <row r="236" spans="1:60" x14ac:dyDescent="0.25">
      <c r="A236" s="77"/>
      <c r="J236" s="77"/>
      <c r="K236" s="77"/>
      <c r="L236" s="77"/>
      <c r="M236" s="77"/>
      <c r="N236" s="77"/>
      <c r="O236" s="77"/>
      <c r="P236" s="77"/>
      <c r="Q236" s="77"/>
      <c r="R236" s="77"/>
      <c r="S236" s="77"/>
      <c r="T236" s="77"/>
      <c r="U236" s="77"/>
      <c r="V236" s="77"/>
      <c r="W236" s="77"/>
      <c r="X236" s="77"/>
      <c r="Y236" s="77"/>
      <c r="Z236" s="77"/>
      <c r="AA236" s="77"/>
      <c r="AB236" s="77"/>
      <c r="AC236" s="77"/>
      <c r="AD236" s="77"/>
      <c r="AE236" s="77"/>
      <c r="AF236" s="77"/>
      <c r="AG236" s="77"/>
      <c r="AH236" s="77"/>
      <c r="AI236" s="77"/>
      <c r="AJ236" s="77"/>
      <c r="AK236" s="77"/>
      <c r="AL236" s="77"/>
      <c r="AM236" s="77"/>
      <c r="AN236" s="77"/>
      <c r="AO236" s="77"/>
      <c r="AP236" s="77"/>
      <c r="AQ236" s="77"/>
      <c r="AR236" s="77"/>
      <c r="AS236" s="77"/>
      <c r="AT236" s="77"/>
      <c r="AU236" s="77"/>
      <c r="AV236" s="77"/>
      <c r="AW236" s="77"/>
      <c r="AX236" s="77"/>
      <c r="AY236" s="77"/>
      <c r="AZ236" s="77"/>
      <c r="BA236" s="77"/>
      <c r="BB236" s="77"/>
      <c r="BC236" s="77"/>
      <c r="BD236" s="77"/>
      <c r="BE236" s="77"/>
      <c r="BF236" s="77"/>
      <c r="BG236" s="77"/>
      <c r="BH236" s="77"/>
    </row>
    <row r="237" spans="1:60" x14ac:dyDescent="0.25">
      <c r="A237" s="77"/>
      <c r="J237" s="77"/>
      <c r="K237" s="77"/>
      <c r="L237" s="77"/>
      <c r="M237" s="77"/>
      <c r="N237" s="77"/>
      <c r="O237" s="77"/>
      <c r="P237" s="77"/>
      <c r="Q237" s="77"/>
      <c r="R237" s="77"/>
      <c r="S237" s="77"/>
      <c r="T237" s="77"/>
      <c r="U237" s="77"/>
      <c r="V237" s="77"/>
      <c r="W237" s="77"/>
      <c r="X237" s="77"/>
      <c r="Y237" s="77"/>
      <c r="Z237" s="77"/>
      <c r="AA237" s="77"/>
      <c r="AB237" s="77"/>
      <c r="AC237" s="77"/>
      <c r="AD237" s="77"/>
      <c r="AE237" s="77"/>
      <c r="AF237" s="77"/>
      <c r="AG237" s="77"/>
      <c r="AH237" s="77"/>
      <c r="AI237" s="77"/>
      <c r="AJ237" s="77"/>
      <c r="AK237" s="77"/>
      <c r="AL237" s="77"/>
      <c r="AM237" s="77"/>
      <c r="AN237" s="77"/>
      <c r="AO237" s="77"/>
      <c r="AP237" s="77"/>
      <c r="AQ237" s="77"/>
      <c r="AR237" s="77"/>
      <c r="AS237" s="77"/>
      <c r="AT237" s="77"/>
      <c r="AU237" s="77"/>
      <c r="AV237" s="77"/>
      <c r="AW237" s="77"/>
      <c r="AX237" s="77"/>
      <c r="AY237" s="77"/>
      <c r="AZ237" s="77"/>
      <c r="BA237" s="77"/>
      <c r="BB237" s="77"/>
      <c r="BC237" s="77"/>
      <c r="BD237" s="77"/>
      <c r="BE237" s="77"/>
      <c r="BF237" s="77"/>
      <c r="BG237" s="77"/>
      <c r="BH237" s="77"/>
    </row>
    <row r="238" spans="1:60" x14ac:dyDescent="0.25">
      <c r="A238" s="77"/>
      <c r="J238" s="77"/>
      <c r="K238" s="77"/>
      <c r="L238" s="77"/>
      <c r="M238" s="77"/>
      <c r="N238" s="77"/>
      <c r="O238" s="77"/>
      <c r="P238" s="77"/>
      <c r="Q238" s="77"/>
      <c r="R238" s="77"/>
      <c r="S238" s="77"/>
      <c r="T238" s="77"/>
      <c r="U238" s="77"/>
      <c r="V238" s="77"/>
      <c r="W238" s="77"/>
      <c r="X238" s="77"/>
      <c r="Y238" s="77"/>
      <c r="Z238" s="77"/>
      <c r="AA238" s="77"/>
      <c r="AB238" s="77"/>
      <c r="AC238" s="77"/>
      <c r="AD238" s="77"/>
      <c r="AE238" s="77"/>
      <c r="AF238" s="77"/>
      <c r="AG238" s="77"/>
      <c r="AH238" s="77"/>
      <c r="AI238" s="77"/>
      <c r="AJ238" s="77"/>
      <c r="AK238" s="77"/>
      <c r="AL238" s="77"/>
      <c r="AM238" s="77"/>
      <c r="AN238" s="77"/>
      <c r="AO238" s="77"/>
      <c r="AP238" s="77"/>
      <c r="AQ238" s="77"/>
      <c r="AR238" s="77"/>
      <c r="AS238" s="77"/>
      <c r="AT238" s="77"/>
      <c r="AU238" s="77"/>
      <c r="AV238" s="77"/>
      <c r="AW238" s="77"/>
      <c r="AX238" s="77"/>
      <c r="AY238" s="77"/>
      <c r="AZ238" s="77"/>
      <c r="BA238" s="77"/>
      <c r="BB238" s="77"/>
      <c r="BC238" s="77"/>
      <c r="BD238" s="77"/>
      <c r="BE238" s="77"/>
      <c r="BF238" s="77"/>
      <c r="BG238" s="77"/>
      <c r="BH238" s="77"/>
    </row>
    <row r="239" spans="1:60" x14ac:dyDescent="0.25">
      <c r="A239" s="77"/>
      <c r="J239" s="77"/>
      <c r="K239" s="77"/>
      <c r="L239" s="77"/>
      <c r="M239" s="77"/>
      <c r="N239" s="77"/>
      <c r="O239" s="77"/>
      <c r="P239" s="77"/>
      <c r="Q239" s="77"/>
      <c r="R239" s="77"/>
      <c r="S239" s="77"/>
      <c r="T239" s="77"/>
      <c r="U239" s="77"/>
      <c r="V239" s="77"/>
      <c r="W239" s="77"/>
      <c r="X239" s="77"/>
      <c r="Y239" s="77"/>
      <c r="Z239" s="77"/>
      <c r="AA239" s="77"/>
      <c r="AB239" s="77"/>
      <c r="AC239" s="77"/>
      <c r="AD239" s="77"/>
      <c r="AE239" s="77"/>
      <c r="AF239" s="77"/>
      <c r="AG239" s="77"/>
      <c r="AH239" s="77"/>
      <c r="AI239" s="77"/>
      <c r="AJ239" s="77"/>
      <c r="AK239" s="77"/>
      <c r="AL239" s="77"/>
      <c r="AM239" s="77"/>
      <c r="AN239" s="77"/>
      <c r="AO239" s="77"/>
      <c r="AP239" s="77"/>
      <c r="AQ239" s="77"/>
      <c r="AR239" s="77"/>
      <c r="AS239" s="77"/>
      <c r="AT239" s="77"/>
      <c r="AU239" s="77"/>
      <c r="AV239" s="77"/>
      <c r="AW239" s="77"/>
      <c r="AX239" s="77"/>
      <c r="AY239" s="77"/>
      <c r="AZ239" s="77"/>
      <c r="BA239" s="77"/>
      <c r="BB239" s="77"/>
      <c r="BC239" s="77"/>
      <c r="BD239" s="77"/>
      <c r="BE239" s="77"/>
      <c r="BF239" s="77"/>
      <c r="BG239" s="77"/>
      <c r="BH239" s="77"/>
    </row>
    <row r="240" spans="1:60" x14ac:dyDescent="0.25">
      <c r="A240" s="77"/>
      <c r="J240" s="77"/>
      <c r="K240" s="77"/>
      <c r="L240" s="77"/>
      <c r="M240" s="77"/>
      <c r="N240" s="77"/>
      <c r="O240" s="77"/>
      <c r="P240" s="77"/>
      <c r="Q240" s="77"/>
      <c r="R240" s="77"/>
      <c r="S240" s="77"/>
      <c r="T240" s="77"/>
      <c r="U240" s="77"/>
      <c r="V240" s="77"/>
      <c r="W240" s="77"/>
      <c r="X240" s="77"/>
      <c r="Y240" s="77"/>
      <c r="Z240" s="77"/>
      <c r="AA240" s="77"/>
      <c r="AB240" s="77"/>
      <c r="AC240" s="77"/>
      <c r="AD240" s="77"/>
      <c r="AE240" s="77"/>
      <c r="AF240" s="77"/>
      <c r="AG240" s="77"/>
      <c r="AH240" s="77"/>
      <c r="AI240" s="77"/>
      <c r="AJ240" s="77"/>
      <c r="AK240" s="77"/>
      <c r="AL240" s="77"/>
      <c r="AM240" s="77"/>
      <c r="AN240" s="77"/>
      <c r="AO240" s="77"/>
      <c r="AP240" s="77"/>
      <c r="AQ240" s="77"/>
      <c r="AR240" s="77"/>
      <c r="AS240" s="77"/>
      <c r="AT240" s="77"/>
      <c r="AU240" s="77"/>
      <c r="AV240" s="77"/>
      <c r="AW240" s="77"/>
      <c r="AX240" s="77"/>
      <c r="AY240" s="77"/>
      <c r="AZ240" s="77"/>
      <c r="BA240" s="77"/>
      <c r="BB240" s="77"/>
      <c r="BC240" s="77"/>
      <c r="BD240" s="77"/>
      <c r="BE240" s="77"/>
      <c r="BF240" s="77"/>
      <c r="BG240" s="77"/>
      <c r="BH240" s="77"/>
    </row>
    <row r="241" spans="1:60" x14ac:dyDescent="0.25">
      <c r="A241" s="77"/>
      <c r="J241" s="77"/>
      <c r="K241" s="77"/>
      <c r="L241" s="77"/>
      <c r="M241" s="77"/>
      <c r="N241" s="77"/>
      <c r="O241" s="77"/>
      <c r="P241" s="77"/>
      <c r="Q241" s="77"/>
      <c r="R241" s="77"/>
      <c r="S241" s="77"/>
      <c r="T241" s="77"/>
      <c r="U241" s="77"/>
      <c r="V241" s="77"/>
      <c r="W241" s="77"/>
      <c r="X241" s="77"/>
      <c r="Y241" s="77"/>
      <c r="Z241" s="77"/>
      <c r="AA241" s="77"/>
      <c r="AB241" s="77"/>
      <c r="AC241" s="77"/>
      <c r="AD241" s="77"/>
      <c r="AE241" s="77"/>
      <c r="AF241" s="77"/>
      <c r="AG241" s="77"/>
      <c r="AH241" s="77"/>
      <c r="AI241" s="77"/>
      <c r="AJ241" s="77"/>
      <c r="AK241" s="77"/>
      <c r="AL241" s="77"/>
      <c r="AM241" s="77"/>
      <c r="AN241" s="77"/>
      <c r="AO241" s="77"/>
      <c r="AP241" s="77"/>
      <c r="AQ241" s="77"/>
      <c r="AR241" s="77"/>
      <c r="AS241" s="77"/>
      <c r="AT241" s="77"/>
      <c r="AU241" s="77"/>
      <c r="AV241" s="77"/>
      <c r="AW241" s="77"/>
      <c r="AX241" s="77"/>
      <c r="AY241" s="77"/>
      <c r="AZ241" s="77"/>
      <c r="BA241" s="77"/>
      <c r="BB241" s="77"/>
      <c r="BC241" s="77"/>
      <c r="BD241" s="77"/>
      <c r="BE241" s="77"/>
      <c r="BF241" s="77"/>
      <c r="BG241" s="77"/>
      <c r="BH241" s="77"/>
    </row>
    <row r="242" spans="1:60" x14ac:dyDescent="0.25">
      <c r="A242" s="77"/>
      <c r="J242" s="77"/>
      <c r="K242" s="77"/>
      <c r="L242" s="77"/>
      <c r="M242" s="77"/>
      <c r="N242" s="77"/>
      <c r="O242" s="77"/>
      <c r="P242" s="77"/>
      <c r="Q242" s="77"/>
      <c r="R242" s="77"/>
      <c r="S242" s="77"/>
      <c r="T242" s="77"/>
      <c r="U242" s="77"/>
      <c r="V242" s="77"/>
      <c r="W242" s="77"/>
      <c r="X242" s="77"/>
      <c r="Y242" s="77"/>
      <c r="Z242" s="77"/>
      <c r="AA242" s="77"/>
      <c r="AB242" s="77"/>
      <c r="AC242" s="77"/>
      <c r="AD242" s="77"/>
      <c r="AE242" s="77"/>
      <c r="AF242" s="77"/>
      <c r="AG242" s="77"/>
      <c r="AH242" s="77"/>
      <c r="AI242" s="77"/>
      <c r="AJ242" s="77"/>
      <c r="AK242" s="77"/>
      <c r="AL242" s="77"/>
      <c r="AM242" s="77"/>
      <c r="AN242" s="77"/>
      <c r="AO242" s="77"/>
      <c r="AP242" s="77"/>
      <c r="AQ242" s="77"/>
      <c r="AR242" s="77"/>
      <c r="AS242" s="77"/>
      <c r="AT242" s="77"/>
      <c r="AU242" s="77"/>
      <c r="AV242" s="77"/>
      <c r="AW242" s="77"/>
      <c r="AX242" s="77"/>
      <c r="AY242" s="77"/>
      <c r="AZ242" s="77"/>
      <c r="BA242" s="77"/>
      <c r="BB242" s="77"/>
      <c r="BC242" s="77"/>
      <c r="BD242" s="77"/>
      <c r="BE242" s="77"/>
      <c r="BF242" s="77"/>
      <c r="BG242" s="77"/>
      <c r="BH242" s="77"/>
    </row>
    <row r="243" spans="1:60" x14ac:dyDescent="0.25">
      <c r="A243" s="77"/>
      <c r="J243" s="77"/>
      <c r="K243" s="77"/>
      <c r="L243" s="77"/>
      <c r="M243" s="77"/>
      <c r="N243" s="77"/>
      <c r="O243" s="77"/>
      <c r="P243" s="77"/>
      <c r="Q243" s="77"/>
      <c r="R243" s="77"/>
      <c r="S243" s="77"/>
      <c r="T243" s="77"/>
      <c r="U243" s="77"/>
      <c r="V243" s="77"/>
      <c r="W243" s="77"/>
      <c r="X243" s="77"/>
      <c r="Y243" s="77"/>
      <c r="Z243" s="77"/>
      <c r="AA243" s="77"/>
      <c r="AB243" s="77"/>
      <c r="AC243" s="77"/>
      <c r="AD243" s="77"/>
      <c r="AE243" s="77"/>
      <c r="AF243" s="77"/>
      <c r="AG243" s="77"/>
      <c r="AH243" s="77"/>
      <c r="AI243" s="77"/>
      <c r="AJ243" s="77"/>
      <c r="AK243" s="77"/>
      <c r="AL243" s="77"/>
      <c r="AM243" s="77"/>
      <c r="AN243" s="77"/>
      <c r="AO243" s="77"/>
      <c r="AP243" s="77"/>
      <c r="AQ243" s="77"/>
      <c r="AR243" s="77"/>
      <c r="AS243" s="77"/>
      <c r="AT243" s="77"/>
      <c r="AU243" s="77"/>
      <c r="AV243" s="77"/>
      <c r="AW243" s="77"/>
      <c r="AX243" s="77"/>
      <c r="AY243" s="77"/>
      <c r="AZ243" s="77"/>
      <c r="BA243" s="77"/>
      <c r="BB243" s="77"/>
      <c r="BC243" s="77"/>
      <c r="BD243" s="77"/>
      <c r="BE243" s="77"/>
      <c r="BF243" s="77"/>
      <c r="BG243" s="77"/>
      <c r="BH243" s="77"/>
    </row>
    <row r="244" spans="1:60" x14ac:dyDescent="0.25">
      <c r="A244" s="77"/>
      <c r="J244" s="77"/>
      <c r="K244" s="77"/>
      <c r="L244" s="77"/>
      <c r="M244" s="77"/>
      <c r="N244" s="77"/>
      <c r="O244" s="77"/>
      <c r="P244" s="77"/>
      <c r="Q244" s="77"/>
      <c r="R244" s="77"/>
      <c r="S244" s="77"/>
      <c r="T244" s="77"/>
      <c r="U244" s="77"/>
      <c r="V244" s="77"/>
      <c r="W244" s="77"/>
      <c r="X244" s="77"/>
      <c r="Y244" s="77"/>
      <c r="Z244" s="77"/>
      <c r="AA244" s="77"/>
      <c r="AB244" s="77"/>
      <c r="AC244" s="77"/>
      <c r="AD244" s="77"/>
      <c r="AE244" s="77"/>
      <c r="AF244" s="77"/>
      <c r="AG244" s="77"/>
      <c r="AH244" s="77"/>
      <c r="AI244" s="77"/>
      <c r="AJ244" s="77"/>
      <c r="AK244" s="77"/>
      <c r="AL244" s="77"/>
      <c r="AM244" s="77"/>
      <c r="AN244" s="77"/>
      <c r="AO244" s="77"/>
      <c r="AP244" s="77"/>
      <c r="AQ244" s="77"/>
      <c r="AR244" s="77"/>
      <c r="AS244" s="77"/>
      <c r="AT244" s="77"/>
      <c r="AU244" s="77"/>
      <c r="AV244" s="77"/>
      <c r="AW244" s="77"/>
      <c r="AX244" s="77"/>
      <c r="AY244" s="77"/>
      <c r="AZ244" s="77"/>
      <c r="BA244" s="77"/>
      <c r="BB244" s="77"/>
      <c r="BC244" s="77"/>
      <c r="BD244" s="77"/>
      <c r="BE244" s="77"/>
      <c r="BF244" s="77"/>
      <c r="BG244" s="77"/>
      <c r="BH244" s="77"/>
    </row>
    <row r="245" spans="1:60" x14ac:dyDescent="0.25">
      <c r="A245" s="77"/>
    </row>
    <row r="246" spans="1:60" x14ac:dyDescent="0.25">
      <c r="A246" s="77"/>
    </row>
    <row r="247" spans="1:60" x14ac:dyDescent="0.25">
      <c r="A247" s="77"/>
    </row>
    <row r="248" spans="1:60" x14ac:dyDescent="0.25">
      <c r="A248" s="77"/>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77"/>
      <c r="B1" s="477" t="s">
        <v>52</v>
      </c>
      <c r="C1" s="477"/>
      <c r="D1" s="477"/>
      <c r="E1" s="77"/>
      <c r="F1" s="77"/>
      <c r="G1" s="77"/>
      <c r="H1" s="77"/>
      <c r="I1" s="77"/>
      <c r="J1" s="77"/>
      <c r="K1" s="77"/>
      <c r="L1" s="77"/>
      <c r="M1" s="77"/>
      <c r="N1" s="77"/>
      <c r="O1" s="77"/>
      <c r="P1" s="77"/>
      <c r="Q1" s="77"/>
      <c r="R1" s="77"/>
      <c r="S1" s="77"/>
      <c r="T1" s="77"/>
      <c r="U1" s="77"/>
      <c r="V1" s="77"/>
      <c r="W1" s="77"/>
      <c r="X1" s="77"/>
      <c r="Y1" s="77"/>
      <c r="Z1" s="77"/>
      <c r="AA1" s="77"/>
      <c r="AB1" s="77"/>
      <c r="AC1" s="77"/>
      <c r="AD1" s="77"/>
      <c r="AE1" s="77"/>
    </row>
    <row r="2" spans="1:37" x14ac:dyDescent="0.25">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row>
    <row r="3" spans="1:37" ht="25.5" x14ac:dyDescent="0.25">
      <c r="A3" s="77"/>
      <c r="B3" s="9"/>
      <c r="C3" s="10" t="s">
        <v>49</v>
      </c>
      <c r="D3" s="10" t="s">
        <v>3</v>
      </c>
      <c r="E3" s="77"/>
      <c r="F3" s="77"/>
      <c r="G3" s="77"/>
      <c r="H3" s="77"/>
      <c r="I3" s="77"/>
      <c r="J3" s="77"/>
      <c r="K3" s="77"/>
      <c r="L3" s="77"/>
      <c r="M3" s="77"/>
      <c r="N3" s="77"/>
      <c r="O3" s="77"/>
      <c r="P3" s="77"/>
      <c r="Q3" s="77"/>
      <c r="R3" s="77"/>
      <c r="S3" s="77"/>
      <c r="T3" s="77"/>
      <c r="U3" s="77"/>
      <c r="V3" s="77"/>
      <c r="W3" s="77"/>
      <c r="X3" s="77"/>
      <c r="Y3" s="77"/>
      <c r="Z3" s="77"/>
      <c r="AA3" s="77"/>
      <c r="AB3" s="77"/>
      <c r="AC3" s="77"/>
      <c r="AD3" s="77"/>
      <c r="AE3" s="77"/>
    </row>
    <row r="4" spans="1:37" ht="51" x14ac:dyDescent="0.25">
      <c r="A4" s="77"/>
      <c r="B4" s="11" t="s">
        <v>48</v>
      </c>
      <c r="C4" s="12" t="s">
        <v>99</v>
      </c>
      <c r="D4" s="13">
        <v>0.2</v>
      </c>
      <c r="E4" s="77"/>
      <c r="F4" s="77"/>
      <c r="G4" s="77"/>
      <c r="H4" s="77"/>
      <c r="I4" s="77"/>
      <c r="J4" s="77"/>
      <c r="K4" s="77"/>
      <c r="L4" s="77"/>
      <c r="M4" s="77"/>
      <c r="N4" s="77"/>
      <c r="O4" s="77"/>
      <c r="P4" s="77"/>
      <c r="Q4" s="77"/>
      <c r="R4" s="77"/>
      <c r="S4" s="77"/>
      <c r="T4" s="77"/>
      <c r="U4" s="77"/>
      <c r="V4" s="77"/>
      <c r="W4" s="77"/>
      <c r="X4" s="77"/>
      <c r="Y4" s="77"/>
      <c r="Z4" s="77"/>
      <c r="AA4" s="77"/>
      <c r="AB4" s="77"/>
      <c r="AC4" s="77"/>
      <c r="AD4" s="77"/>
      <c r="AE4" s="77"/>
    </row>
    <row r="5" spans="1:37" ht="51" x14ac:dyDescent="0.25">
      <c r="A5" s="77"/>
      <c r="B5" s="14" t="s">
        <v>50</v>
      </c>
      <c r="C5" s="15" t="s">
        <v>100</v>
      </c>
      <c r="D5" s="16">
        <v>0.4</v>
      </c>
      <c r="E5" s="77"/>
      <c r="F5" s="77"/>
      <c r="G5" s="77"/>
      <c r="H5" s="77"/>
      <c r="I5" s="77"/>
      <c r="J5" s="77"/>
      <c r="K5" s="77"/>
      <c r="L5" s="77"/>
      <c r="M5" s="77"/>
      <c r="N5" s="77"/>
      <c r="O5" s="77"/>
      <c r="P5" s="77"/>
      <c r="Q5" s="77"/>
      <c r="R5" s="77"/>
      <c r="S5" s="77"/>
      <c r="T5" s="77"/>
      <c r="U5" s="77"/>
      <c r="V5" s="77"/>
      <c r="W5" s="77"/>
      <c r="X5" s="77"/>
      <c r="Y5" s="77"/>
      <c r="Z5" s="77"/>
      <c r="AA5" s="77"/>
      <c r="AB5" s="77"/>
      <c r="AC5" s="77"/>
      <c r="AD5" s="77"/>
      <c r="AE5" s="77"/>
    </row>
    <row r="6" spans="1:37" ht="51" x14ac:dyDescent="0.25">
      <c r="A6" s="77"/>
      <c r="B6" s="17" t="s">
        <v>104</v>
      </c>
      <c r="C6" s="15" t="s">
        <v>101</v>
      </c>
      <c r="D6" s="16">
        <v>0.6</v>
      </c>
      <c r="E6" s="77"/>
      <c r="F6" s="77"/>
      <c r="G6" s="77"/>
      <c r="H6" s="77"/>
      <c r="I6" s="77"/>
      <c r="J6" s="77"/>
      <c r="K6" s="77"/>
      <c r="L6" s="77"/>
      <c r="M6" s="77"/>
      <c r="N6" s="77"/>
      <c r="O6" s="77"/>
      <c r="P6" s="77"/>
      <c r="Q6" s="77"/>
      <c r="R6" s="77"/>
      <c r="S6" s="77"/>
      <c r="T6" s="77"/>
      <c r="U6" s="77"/>
      <c r="V6" s="77"/>
      <c r="W6" s="77"/>
      <c r="X6" s="77"/>
      <c r="Y6" s="77"/>
      <c r="Z6" s="77"/>
      <c r="AA6" s="77"/>
      <c r="AB6" s="77"/>
      <c r="AC6" s="77"/>
      <c r="AD6" s="77"/>
      <c r="AE6" s="77"/>
    </row>
    <row r="7" spans="1:37" ht="76.5" x14ac:dyDescent="0.25">
      <c r="A7" s="77"/>
      <c r="B7" s="18" t="s">
        <v>5</v>
      </c>
      <c r="C7" s="15" t="s">
        <v>102</v>
      </c>
      <c r="D7" s="16">
        <v>0.8</v>
      </c>
      <c r="E7" s="77"/>
      <c r="F7" s="77"/>
      <c r="G7" s="77"/>
      <c r="H7" s="77"/>
      <c r="I7" s="77"/>
      <c r="J7" s="77"/>
      <c r="K7" s="77"/>
      <c r="L7" s="77"/>
      <c r="M7" s="77"/>
      <c r="N7" s="77"/>
      <c r="O7" s="77"/>
      <c r="P7" s="77"/>
      <c r="Q7" s="77"/>
      <c r="R7" s="77"/>
      <c r="S7" s="77"/>
      <c r="T7" s="77"/>
      <c r="U7" s="77"/>
      <c r="V7" s="77"/>
      <c r="W7" s="77"/>
      <c r="X7" s="77"/>
      <c r="Y7" s="77"/>
      <c r="Z7" s="77"/>
      <c r="AA7" s="77"/>
      <c r="AB7" s="77"/>
      <c r="AC7" s="77"/>
      <c r="AD7" s="77"/>
      <c r="AE7" s="77"/>
    </row>
    <row r="8" spans="1:37" ht="51" x14ac:dyDescent="0.25">
      <c r="A8" s="77"/>
      <c r="B8" s="19" t="s">
        <v>51</v>
      </c>
      <c r="C8" s="15" t="s">
        <v>103</v>
      </c>
      <c r="D8" s="16">
        <v>1</v>
      </c>
      <c r="E8" s="77"/>
      <c r="F8" s="77"/>
      <c r="G8" s="77"/>
      <c r="H8" s="77"/>
      <c r="I8" s="77"/>
      <c r="J8" s="77"/>
      <c r="K8" s="77"/>
      <c r="L8" s="77"/>
      <c r="M8" s="77"/>
      <c r="N8" s="77"/>
      <c r="O8" s="77"/>
      <c r="P8" s="77"/>
      <c r="Q8" s="77"/>
      <c r="R8" s="77"/>
      <c r="S8" s="77"/>
      <c r="T8" s="77"/>
      <c r="U8" s="77"/>
      <c r="V8" s="77"/>
      <c r="W8" s="77"/>
      <c r="X8" s="77"/>
      <c r="Y8" s="77"/>
      <c r="Z8" s="77"/>
      <c r="AA8" s="77"/>
      <c r="AB8" s="77"/>
      <c r="AC8" s="77"/>
      <c r="AD8" s="77"/>
      <c r="AE8" s="77"/>
    </row>
    <row r="9" spans="1:37" x14ac:dyDescent="0.25">
      <c r="A9" s="77"/>
      <c r="B9" s="101"/>
      <c r="C9" s="101"/>
      <c r="D9" s="101"/>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row>
    <row r="10" spans="1:37" ht="16.5" x14ac:dyDescent="0.25">
      <c r="A10" s="77"/>
      <c r="B10" s="102"/>
      <c r="C10" s="101"/>
      <c r="D10" s="101"/>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row>
    <row r="11" spans="1:37" x14ac:dyDescent="0.25">
      <c r="A11" s="77"/>
      <c r="B11" s="101"/>
      <c r="C11" s="101"/>
      <c r="D11" s="101"/>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row>
    <row r="12" spans="1:37" x14ac:dyDescent="0.25">
      <c r="A12" s="77"/>
      <c r="B12" s="101"/>
      <c r="C12" s="101"/>
      <c r="D12" s="101"/>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row>
    <row r="13" spans="1:37" x14ac:dyDescent="0.25">
      <c r="A13" s="77"/>
      <c r="B13" s="101"/>
      <c r="C13" s="101"/>
      <c r="D13" s="101"/>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row>
    <row r="14" spans="1:37" x14ac:dyDescent="0.25">
      <c r="A14" s="77"/>
      <c r="B14" s="101"/>
      <c r="C14" s="101"/>
      <c r="D14" s="101"/>
      <c r="E14" s="77"/>
      <c r="F14" s="77"/>
      <c r="G14" s="77"/>
      <c r="H14" s="77"/>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row>
    <row r="15" spans="1:37" x14ac:dyDescent="0.25">
      <c r="A15" s="77"/>
      <c r="B15" s="101"/>
      <c r="C15" s="101"/>
      <c r="D15" s="101"/>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row>
    <row r="16" spans="1:37" x14ac:dyDescent="0.25">
      <c r="A16" s="77"/>
      <c r="B16" s="101"/>
      <c r="C16" s="101"/>
      <c r="D16" s="101"/>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row>
    <row r="17" spans="1:37" x14ac:dyDescent="0.25">
      <c r="A17" s="77"/>
      <c r="B17" s="101"/>
      <c r="C17" s="101"/>
      <c r="D17" s="101"/>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row>
    <row r="18" spans="1:37" x14ac:dyDescent="0.25">
      <c r="A18" s="77"/>
      <c r="B18" s="101"/>
      <c r="C18" s="101"/>
      <c r="D18" s="101"/>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row>
    <row r="19" spans="1:37" x14ac:dyDescent="0.25">
      <c r="A19" s="77"/>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row>
    <row r="20" spans="1:37" x14ac:dyDescent="0.25">
      <c r="A20" s="77"/>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row>
    <row r="21" spans="1:37" x14ac:dyDescent="0.25">
      <c r="A21" s="77"/>
      <c r="B21" s="77"/>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row>
    <row r="22" spans="1:37" x14ac:dyDescent="0.25">
      <c r="A22" s="77"/>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row>
    <row r="23" spans="1:37" x14ac:dyDescent="0.25">
      <c r="A23" s="77"/>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row>
    <row r="24" spans="1:37" x14ac:dyDescent="0.25">
      <c r="A24" s="77"/>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row>
    <row r="25" spans="1:37" x14ac:dyDescent="0.25">
      <c r="A25" s="77"/>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row>
    <row r="26" spans="1:37" x14ac:dyDescent="0.25">
      <c r="A26" s="77"/>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row>
    <row r="27" spans="1:37" x14ac:dyDescent="0.25">
      <c r="A27" s="77"/>
      <c r="B27" s="77"/>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row>
    <row r="28" spans="1:37" x14ac:dyDescent="0.25">
      <c r="A28" s="77"/>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row>
    <row r="29" spans="1:37" x14ac:dyDescent="0.25">
      <c r="A29" s="77"/>
      <c r="B29" s="77"/>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row>
    <row r="30" spans="1:37" x14ac:dyDescent="0.25">
      <c r="A30" s="77"/>
      <c r="B30" s="77"/>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row>
    <row r="31" spans="1:37" x14ac:dyDescent="0.25">
      <c r="A31" s="77"/>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row>
    <row r="32" spans="1:37" x14ac:dyDescent="0.25">
      <c r="A32" s="77"/>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row>
    <row r="33" spans="1:31" x14ac:dyDescent="0.25">
      <c r="A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row>
    <row r="34" spans="1:31" x14ac:dyDescent="0.25">
      <c r="A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row>
    <row r="35" spans="1:31" x14ac:dyDescent="0.25">
      <c r="A35" s="77"/>
    </row>
    <row r="36" spans="1:31" x14ac:dyDescent="0.25">
      <c r="A36" s="77"/>
    </row>
    <row r="37" spans="1:31" x14ac:dyDescent="0.25">
      <c r="A37" s="77"/>
    </row>
    <row r="38" spans="1:31" x14ac:dyDescent="0.25">
      <c r="A38" s="77"/>
    </row>
    <row r="39" spans="1:31" x14ac:dyDescent="0.25">
      <c r="A39" s="77"/>
    </row>
    <row r="40" spans="1:31" x14ac:dyDescent="0.25">
      <c r="A40" s="77"/>
    </row>
    <row r="41" spans="1:31" x14ac:dyDescent="0.25">
      <c r="A41" s="77"/>
    </row>
    <row r="42" spans="1:31" x14ac:dyDescent="0.25">
      <c r="A42" s="77"/>
    </row>
    <row r="43" spans="1:31" x14ac:dyDescent="0.25">
      <c r="A43" s="77"/>
    </row>
    <row r="44" spans="1:31" x14ac:dyDescent="0.25">
      <c r="A44" s="77"/>
    </row>
    <row r="45" spans="1:31" x14ac:dyDescent="0.25">
      <c r="A45" s="77"/>
    </row>
    <row r="46" spans="1:31" x14ac:dyDescent="0.25">
      <c r="A46" s="77"/>
    </row>
    <row r="47" spans="1:31" x14ac:dyDescent="0.25">
      <c r="A47" s="77"/>
    </row>
    <row r="48" spans="1:31" x14ac:dyDescent="0.25">
      <c r="A48" s="77"/>
    </row>
    <row r="49" spans="1:1" x14ac:dyDescent="0.25">
      <c r="A49" s="77"/>
    </row>
    <row r="50" spans="1:1" x14ac:dyDescent="0.25">
      <c r="A50" s="77"/>
    </row>
    <row r="51" spans="1:1" x14ac:dyDescent="0.25">
      <c r="A51" s="77"/>
    </row>
    <row r="52" spans="1:1" x14ac:dyDescent="0.25">
      <c r="A52" s="77"/>
    </row>
    <row r="53" spans="1:1" x14ac:dyDescent="0.25">
      <c r="A53" s="77"/>
    </row>
    <row r="54" spans="1:1" x14ac:dyDescent="0.25">
      <c r="A54" s="77"/>
    </row>
    <row r="55" spans="1:1" x14ac:dyDescent="0.25">
      <c r="A55" s="77"/>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77"/>
      <c r="B1" s="478" t="s">
        <v>60</v>
      </c>
      <c r="C1" s="478"/>
      <c r="D1" s="478"/>
      <c r="E1" s="77"/>
      <c r="F1" s="77"/>
      <c r="G1" s="77"/>
      <c r="H1" s="77"/>
      <c r="I1" s="77"/>
      <c r="J1" s="77"/>
      <c r="K1" s="77"/>
      <c r="L1" s="77"/>
      <c r="M1" s="77"/>
      <c r="N1" s="77"/>
      <c r="O1" s="77"/>
      <c r="P1" s="77"/>
      <c r="Q1" s="77"/>
      <c r="R1" s="77"/>
      <c r="S1" s="77"/>
      <c r="T1" s="77"/>
      <c r="U1" s="77"/>
    </row>
    <row r="2" spans="1:21" x14ac:dyDescent="0.25">
      <c r="A2" s="77"/>
      <c r="B2" s="77"/>
      <c r="C2" s="77"/>
      <c r="D2" s="77"/>
      <c r="E2" s="77"/>
      <c r="F2" s="77"/>
      <c r="G2" s="77"/>
      <c r="H2" s="77"/>
      <c r="I2" s="77"/>
      <c r="J2" s="77"/>
      <c r="K2" s="77"/>
      <c r="L2" s="77"/>
      <c r="M2" s="77"/>
      <c r="N2" s="77"/>
      <c r="O2" s="77"/>
      <c r="P2" s="77"/>
      <c r="Q2" s="77"/>
      <c r="R2" s="77"/>
      <c r="S2" s="77"/>
      <c r="T2" s="77"/>
      <c r="U2" s="77"/>
    </row>
    <row r="3" spans="1:21" ht="60" x14ac:dyDescent="0.25">
      <c r="A3" s="77"/>
      <c r="B3" s="98"/>
      <c r="C3" s="30" t="s">
        <v>53</v>
      </c>
      <c r="D3" s="30" t="s">
        <v>54</v>
      </c>
      <c r="E3" s="77"/>
      <c r="F3" s="77"/>
      <c r="G3" s="77"/>
      <c r="H3" s="77"/>
      <c r="I3" s="77"/>
      <c r="J3" s="77"/>
      <c r="K3" s="77"/>
      <c r="L3" s="77"/>
      <c r="M3" s="77"/>
      <c r="N3" s="77"/>
      <c r="O3" s="77"/>
      <c r="P3" s="77"/>
      <c r="Q3" s="77"/>
      <c r="R3" s="77"/>
      <c r="S3" s="77"/>
      <c r="T3" s="77"/>
      <c r="U3" s="77"/>
    </row>
    <row r="4" spans="1:21" ht="33.75" x14ac:dyDescent="0.25">
      <c r="A4" s="97" t="s">
        <v>80</v>
      </c>
      <c r="B4" s="33" t="s">
        <v>98</v>
      </c>
      <c r="C4" s="38" t="s">
        <v>151</v>
      </c>
      <c r="D4" s="31" t="s">
        <v>94</v>
      </c>
      <c r="E4" s="77"/>
      <c r="F4" s="77"/>
      <c r="G4" s="77"/>
      <c r="H4" s="77"/>
      <c r="I4" s="77"/>
      <c r="J4" s="77"/>
      <c r="K4" s="77"/>
      <c r="L4" s="77"/>
      <c r="M4" s="77"/>
      <c r="N4" s="77"/>
      <c r="O4" s="77"/>
      <c r="P4" s="77"/>
      <c r="Q4" s="77"/>
      <c r="R4" s="77"/>
      <c r="S4" s="77"/>
      <c r="T4" s="77"/>
      <c r="U4" s="77"/>
    </row>
    <row r="5" spans="1:21" ht="101.25" x14ac:dyDescent="0.25">
      <c r="A5" s="97" t="s">
        <v>81</v>
      </c>
      <c r="B5" s="34" t="s">
        <v>56</v>
      </c>
      <c r="C5" s="39" t="s">
        <v>90</v>
      </c>
      <c r="D5" s="32" t="s">
        <v>95</v>
      </c>
      <c r="E5" s="77"/>
      <c r="F5" s="77"/>
      <c r="G5" s="77"/>
      <c r="H5" s="77"/>
      <c r="I5" s="77"/>
      <c r="J5" s="77"/>
      <c r="K5" s="77"/>
      <c r="L5" s="77"/>
      <c r="M5" s="77"/>
      <c r="N5" s="77"/>
      <c r="O5" s="77"/>
      <c r="P5" s="77"/>
      <c r="Q5" s="77"/>
      <c r="R5" s="77"/>
      <c r="S5" s="77"/>
      <c r="T5" s="77"/>
      <c r="U5" s="77"/>
    </row>
    <row r="6" spans="1:21" ht="67.5" x14ac:dyDescent="0.25">
      <c r="A6" s="97" t="s">
        <v>78</v>
      </c>
      <c r="B6" s="35" t="s">
        <v>57</v>
      </c>
      <c r="C6" s="39" t="s">
        <v>91</v>
      </c>
      <c r="D6" s="32" t="s">
        <v>97</v>
      </c>
      <c r="E6" s="77"/>
      <c r="F6" s="77"/>
      <c r="G6" s="77"/>
      <c r="H6" s="77"/>
      <c r="I6" s="77"/>
      <c r="J6" s="77"/>
      <c r="K6" s="77"/>
      <c r="L6" s="77"/>
      <c r="M6" s="77"/>
      <c r="N6" s="77"/>
      <c r="O6" s="77"/>
      <c r="P6" s="77"/>
      <c r="Q6" s="77"/>
      <c r="R6" s="77"/>
      <c r="S6" s="77"/>
      <c r="T6" s="77"/>
      <c r="U6" s="77"/>
    </row>
    <row r="7" spans="1:21" ht="101.25" x14ac:dyDescent="0.25">
      <c r="A7" s="97" t="s">
        <v>6</v>
      </c>
      <c r="B7" s="36" t="s">
        <v>58</v>
      </c>
      <c r="C7" s="39" t="s">
        <v>92</v>
      </c>
      <c r="D7" s="32" t="s">
        <v>96</v>
      </c>
      <c r="E7" s="77"/>
      <c r="F7" s="77"/>
      <c r="G7" s="77"/>
      <c r="H7" s="77"/>
      <c r="I7" s="77"/>
      <c r="J7" s="77"/>
      <c r="K7" s="77"/>
      <c r="L7" s="77"/>
      <c r="M7" s="77"/>
      <c r="N7" s="77"/>
      <c r="O7" s="77"/>
      <c r="P7" s="77"/>
      <c r="Q7" s="77"/>
      <c r="R7" s="77"/>
      <c r="S7" s="77"/>
      <c r="T7" s="77"/>
      <c r="U7" s="77"/>
    </row>
    <row r="8" spans="1:21" ht="67.5" x14ac:dyDescent="0.25">
      <c r="A8" s="97" t="s">
        <v>82</v>
      </c>
      <c r="B8" s="37" t="s">
        <v>59</v>
      </c>
      <c r="C8" s="39" t="s">
        <v>93</v>
      </c>
      <c r="D8" s="32" t="s">
        <v>115</v>
      </c>
      <c r="E8" s="77"/>
      <c r="F8" s="77"/>
      <c r="G8" s="77"/>
      <c r="H8" s="77"/>
      <c r="I8" s="77"/>
      <c r="J8" s="77"/>
      <c r="K8" s="77"/>
      <c r="L8" s="77"/>
      <c r="M8" s="77"/>
      <c r="N8" s="77"/>
      <c r="O8" s="77"/>
      <c r="P8" s="77"/>
      <c r="Q8" s="77"/>
      <c r="R8" s="77"/>
      <c r="S8" s="77"/>
      <c r="T8" s="77"/>
      <c r="U8" s="77"/>
    </row>
    <row r="9" spans="1:21" ht="20.25" x14ac:dyDescent="0.25">
      <c r="A9" s="97"/>
      <c r="B9" s="97"/>
      <c r="C9" s="99"/>
      <c r="D9" s="99"/>
      <c r="E9" s="77"/>
      <c r="F9" s="77"/>
      <c r="G9" s="77"/>
      <c r="H9" s="77"/>
      <c r="I9" s="77"/>
      <c r="J9" s="77"/>
      <c r="K9" s="77"/>
      <c r="L9" s="77"/>
      <c r="M9" s="77"/>
      <c r="N9" s="77"/>
      <c r="O9" s="77"/>
      <c r="P9" s="77"/>
      <c r="Q9" s="77"/>
      <c r="R9" s="77"/>
      <c r="S9" s="77"/>
      <c r="T9" s="77"/>
      <c r="U9" s="77"/>
    </row>
    <row r="10" spans="1:21" ht="16.5" x14ac:dyDescent="0.25">
      <c r="A10" s="97"/>
      <c r="B10" s="100"/>
      <c r="C10" s="100"/>
      <c r="D10" s="100"/>
      <c r="E10" s="77"/>
      <c r="F10" s="77"/>
      <c r="G10" s="77"/>
      <c r="H10" s="77"/>
      <c r="I10" s="77"/>
      <c r="J10" s="77"/>
      <c r="K10" s="77"/>
      <c r="L10" s="77"/>
      <c r="M10" s="77"/>
      <c r="N10" s="77"/>
      <c r="O10" s="77"/>
      <c r="P10" s="77"/>
      <c r="Q10" s="77"/>
      <c r="R10" s="77"/>
      <c r="S10" s="77"/>
      <c r="T10" s="77"/>
      <c r="U10" s="77"/>
    </row>
    <row r="11" spans="1:21" x14ac:dyDescent="0.25">
      <c r="A11" s="97"/>
      <c r="B11" s="97" t="s">
        <v>88</v>
      </c>
      <c r="C11" s="97" t="s">
        <v>139</v>
      </c>
      <c r="D11" s="97" t="s">
        <v>146</v>
      </c>
      <c r="E11" s="77"/>
      <c r="F11" s="77"/>
      <c r="G11" s="77"/>
      <c r="H11" s="77"/>
      <c r="I11" s="77"/>
      <c r="J11" s="77"/>
      <c r="K11" s="77"/>
      <c r="L11" s="77"/>
      <c r="M11" s="77"/>
      <c r="N11" s="77"/>
      <c r="O11" s="77"/>
      <c r="P11" s="77"/>
      <c r="Q11" s="77"/>
      <c r="R11" s="77"/>
      <c r="S11" s="77"/>
      <c r="T11" s="77"/>
      <c r="U11" s="77"/>
    </row>
    <row r="12" spans="1:21" x14ac:dyDescent="0.25">
      <c r="A12" s="97"/>
      <c r="B12" s="97" t="s">
        <v>86</v>
      </c>
      <c r="C12" s="97" t="s">
        <v>143</v>
      </c>
      <c r="D12" s="97" t="s">
        <v>147</v>
      </c>
      <c r="E12" s="77"/>
      <c r="F12" s="77"/>
      <c r="G12" s="77"/>
      <c r="H12" s="77"/>
      <c r="I12" s="77"/>
      <c r="J12" s="77"/>
      <c r="K12" s="77"/>
      <c r="L12" s="77"/>
      <c r="M12" s="77"/>
      <c r="N12" s="77"/>
      <c r="O12" s="77"/>
      <c r="P12" s="77"/>
      <c r="Q12" s="77"/>
      <c r="R12" s="77"/>
      <c r="S12" s="77"/>
      <c r="T12" s="77"/>
      <c r="U12" s="77"/>
    </row>
    <row r="13" spans="1:21" x14ac:dyDescent="0.25">
      <c r="A13" s="97"/>
      <c r="B13" s="97"/>
      <c r="C13" s="97" t="s">
        <v>142</v>
      </c>
      <c r="D13" s="97" t="s">
        <v>148</v>
      </c>
      <c r="E13" s="77"/>
      <c r="F13" s="77"/>
      <c r="G13" s="77"/>
      <c r="H13" s="77"/>
      <c r="I13" s="77"/>
      <c r="J13" s="77"/>
      <c r="K13" s="77"/>
      <c r="L13" s="77"/>
      <c r="M13" s="77"/>
      <c r="N13" s="77"/>
      <c r="O13" s="77"/>
      <c r="P13" s="77"/>
      <c r="Q13" s="77"/>
      <c r="R13" s="77"/>
      <c r="S13" s="77"/>
      <c r="T13" s="77"/>
      <c r="U13" s="77"/>
    </row>
    <row r="14" spans="1:21" x14ac:dyDescent="0.25">
      <c r="A14" s="97"/>
      <c r="B14" s="97"/>
      <c r="C14" s="97" t="s">
        <v>144</v>
      </c>
      <c r="D14" s="97" t="s">
        <v>149</v>
      </c>
      <c r="E14" s="77"/>
      <c r="F14" s="77"/>
      <c r="G14" s="77"/>
      <c r="H14" s="77"/>
      <c r="I14" s="77"/>
      <c r="J14" s="77"/>
      <c r="K14" s="77"/>
      <c r="L14" s="77"/>
      <c r="M14" s="77"/>
      <c r="N14" s="77"/>
      <c r="O14" s="77"/>
      <c r="P14" s="77"/>
      <c r="Q14" s="77"/>
      <c r="R14" s="77"/>
      <c r="S14" s="77"/>
      <c r="T14" s="77"/>
      <c r="U14" s="77"/>
    </row>
    <row r="15" spans="1:21" x14ac:dyDescent="0.25">
      <c r="A15" s="97"/>
      <c r="B15" s="97"/>
      <c r="C15" s="97" t="s">
        <v>145</v>
      </c>
      <c r="D15" s="97" t="s">
        <v>150</v>
      </c>
      <c r="E15" s="77"/>
      <c r="F15" s="77"/>
      <c r="G15" s="77"/>
      <c r="H15" s="77"/>
      <c r="I15" s="77"/>
      <c r="J15" s="77"/>
      <c r="K15" s="77"/>
      <c r="L15" s="77"/>
      <c r="M15" s="77"/>
      <c r="N15" s="77"/>
      <c r="O15" s="77"/>
      <c r="P15" s="77"/>
      <c r="Q15" s="77"/>
      <c r="R15" s="77"/>
      <c r="S15" s="77"/>
      <c r="T15" s="77"/>
      <c r="U15" s="77"/>
    </row>
    <row r="16" spans="1:21" x14ac:dyDescent="0.25">
      <c r="A16" s="97"/>
      <c r="B16" s="97"/>
      <c r="C16" s="97"/>
      <c r="D16" s="97"/>
      <c r="E16" s="77"/>
      <c r="F16" s="77"/>
      <c r="G16" s="77"/>
      <c r="H16" s="77"/>
      <c r="I16" s="77"/>
      <c r="J16" s="77"/>
      <c r="K16" s="77"/>
      <c r="L16" s="77"/>
      <c r="M16" s="77"/>
      <c r="N16" s="77"/>
      <c r="O16" s="77"/>
    </row>
    <row r="17" spans="1:15" x14ac:dyDescent="0.25">
      <c r="A17" s="97"/>
      <c r="B17" s="97"/>
      <c r="C17" s="97"/>
      <c r="D17" s="97"/>
      <c r="E17" s="77"/>
      <c r="F17" s="77"/>
      <c r="G17" s="77"/>
      <c r="H17" s="77"/>
      <c r="I17" s="77"/>
      <c r="J17" s="77"/>
      <c r="K17" s="77"/>
      <c r="L17" s="77"/>
      <c r="M17" s="77"/>
      <c r="N17" s="77"/>
      <c r="O17" s="77"/>
    </row>
    <row r="18" spans="1:15" x14ac:dyDescent="0.25">
      <c r="A18" s="97"/>
      <c r="B18" s="101"/>
      <c r="C18" s="101"/>
      <c r="D18" s="101"/>
      <c r="E18" s="77"/>
      <c r="F18" s="77"/>
      <c r="G18" s="77"/>
      <c r="H18" s="77"/>
      <c r="I18" s="77"/>
      <c r="J18" s="77"/>
      <c r="K18" s="77"/>
      <c r="L18" s="77"/>
      <c r="M18" s="77"/>
      <c r="N18" s="77"/>
      <c r="O18" s="77"/>
    </row>
    <row r="19" spans="1:15" x14ac:dyDescent="0.25">
      <c r="A19" s="97"/>
      <c r="B19" s="101"/>
      <c r="C19" s="101"/>
      <c r="D19" s="101"/>
      <c r="E19" s="77"/>
      <c r="F19" s="77"/>
      <c r="G19" s="77"/>
      <c r="H19" s="77"/>
      <c r="I19" s="77"/>
      <c r="J19" s="77"/>
      <c r="K19" s="77"/>
      <c r="L19" s="77"/>
      <c r="M19" s="77"/>
      <c r="N19" s="77"/>
      <c r="O19" s="77"/>
    </row>
    <row r="20" spans="1:15" x14ac:dyDescent="0.25">
      <c r="A20" s="97"/>
      <c r="B20" s="101"/>
      <c r="C20" s="101"/>
      <c r="D20" s="101"/>
      <c r="E20" s="77"/>
      <c r="F20" s="77"/>
      <c r="G20" s="77"/>
      <c r="H20" s="77"/>
      <c r="I20" s="77"/>
      <c r="J20" s="77"/>
      <c r="K20" s="77"/>
      <c r="L20" s="77"/>
      <c r="M20" s="77"/>
      <c r="N20" s="77"/>
      <c r="O20" s="77"/>
    </row>
    <row r="21" spans="1:15" x14ac:dyDescent="0.25">
      <c r="A21" s="97"/>
      <c r="B21" s="101"/>
      <c r="C21" s="101"/>
      <c r="D21" s="101"/>
      <c r="E21" s="77"/>
      <c r="F21" s="77"/>
      <c r="G21" s="77"/>
      <c r="H21" s="77"/>
      <c r="I21" s="77"/>
      <c r="J21" s="77"/>
      <c r="K21" s="77"/>
      <c r="L21" s="77"/>
      <c r="M21" s="77"/>
      <c r="N21" s="77"/>
      <c r="O21" s="77"/>
    </row>
    <row r="22" spans="1:15" ht="20.25" x14ac:dyDescent="0.25">
      <c r="A22" s="97"/>
      <c r="B22" s="97"/>
      <c r="C22" s="99"/>
      <c r="D22" s="99"/>
      <c r="E22" s="77"/>
      <c r="F22" s="77"/>
      <c r="G22" s="77"/>
      <c r="H22" s="77"/>
      <c r="I22" s="77"/>
      <c r="J22" s="77"/>
      <c r="K22" s="77"/>
      <c r="L22" s="77"/>
      <c r="M22" s="77"/>
      <c r="N22" s="77"/>
      <c r="O22" s="77"/>
    </row>
    <row r="23" spans="1:15" ht="20.25" x14ac:dyDescent="0.25">
      <c r="A23" s="97"/>
      <c r="B23" s="97"/>
      <c r="C23" s="99"/>
      <c r="D23" s="99"/>
      <c r="E23" s="77"/>
      <c r="F23" s="77"/>
      <c r="G23" s="77"/>
      <c r="H23" s="77"/>
      <c r="I23" s="77"/>
      <c r="J23" s="77"/>
      <c r="K23" s="77"/>
      <c r="L23" s="77"/>
      <c r="M23" s="77"/>
      <c r="N23" s="77"/>
      <c r="O23" s="77"/>
    </row>
    <row r="24" spans="1:15" ht="20.25" x14ac:dyDescent="0.25">
      <c r="A24" s="97"/>
      <c r="B24" s="97"/>
      <c r="C24" s="99"/>
      <c r="D24" s="99"/>
      <c r="E24" s="77"/>
      <c r="F24" s="77"/>
      <c r="G24" s="77"/>
      <c r="H24" s="77"/>
      <c r="I24" s="77"/>
      <c r="J24" s="77"/>
      <c r="K24" s="77"/>
      <c r="L24" s="77"/>
      <c r="M24" s="77"/>
      <c r="N24" s="77"/>
      <c r="O24" s="77"/>
    </row>
    <row r="25" spans="1:15" ht="20.25" x14ac:dyDescent="0.25">
      <c r="A25" s="97"/>
      <c r="B25" s="97"/>
      <c r="C25" s="99"/>
      <c r="D25" s="99"/>
      <c r="E25" s="77"/>
      <c r="F25" s="77"/>
      <c r="G25" s="77"/>
      <c r="H25" s="77"/>
      <c r="I25" s="77"/>
      <c r="J25" s="77"/>
      <c r="K25" s="77"/>
      <c r="L25" s="77"/>
      <c r="M25" s="77"/>
      <c r="N25" s="77"/>
      <c r="O25" s="77"/>
    </row>
    <row r="26" spans="1:15" ht="20.25" x14ac:dyDescent="0.25">
      <c r="A26" s="97"/>
      <c r="B26" s="97"/>
      <c r="C26" s="99"/>
      <c r="D26" s="99"/>
      <c r="E26" s="77"/>
      <c r="F26" s="77"/>
      <c r="G26" s="77"/>
      <c r="H26" s="77"/>
      <c r="I26" s="77"/>
      <c r="J26" s="77"/>
      <c r="K26" s="77"/>
      <c r="L26" s="77"/>
      <c r="M26" s="77"/>
      <c r="N26" s="77"/>
      <c r="O26" s="77"/>
    </row>
    <row r="27" spans="1:15" ht="20.25" x14ac:dyDescent="0.25">
      <c r="A27" s="97"/>
      <c r="B27" s="97"/>
      <c r="C27" s="99"/>
      <c r="D27" s="99"/>
      <c r="E27" s="77"/>
      <c r="F27" s="77"/>
      <c r="G27" s="77"/>
      <c r="H27" s="77"/>
      <c r="I27" s="77"/>
      <c r="J27" s="77"/>
      <c r="K27" s="77"/>
      <c r="L27" s="77"/>
      <c r="M27" s="77"/>
      <c r="N27" s="77"/>
      <c r="O27" s="77"/>
    </row>
    <row r="28" spans="1:15" ht="20.25" x14ac:dyDescent="0.25">
      <c r="A28" s="97"/>
      <c r="B28" s="97"/>
      <c r="C28" s="99"/>
      <c r="D28" s="99"/>
      <c r="E28" s="77"/>
      <c r="F28" s="77"/>
      <c r="G28" s="77"/>
      <c r="H28" s="77"/>
      <c r="I28" s="77"/>
      <c r="J28" s="77"/>
      <c r="K28" s="77"/>
      <c r="L28" s="77"/>
      <c r="M28" s="77"/>
      <c r="N28" s="77"/>
      <c r="O28" s="77"/>
    </row>
    <row r="29" spans="1:15" ht="20.25" x14ac:dyDescent="0.25">
      <c r="A29" s="97"/>
      <c r="B29" s="97"/>
      <c r="C29" s="99"/>
      <c r="D29" s="99"/>
      <c r="E29" s="77"/>
      <c r="F29" s="77"/>
      <c r="G29" s="77"/>
      <c r="H29" s="77"/>
      <c r="I29" s="77"/>
      <c r="J29" s="77"/>
      <c r="K29" s="77"/>
      <c r="L29" s="77"/>
      <c r="M29" s="77"/>
      <c r="N29" s="77"/>
      <c r="O29" s="77"/>
    </row>
    <row r="30" spans="1:15" ht="20.25" x14ac:dyDescent="0.25">
      <c r="A30" s="97"/>
      <c r="B30" s="97"/>
      <c r="C30" s="99"/>
      <c r="D30" s="99"/>
      <c r="E30" s="77"/>
      <c r="F30" s="77"/>
      <c r="G30" s="77"/>
      <c r="H30" s="77"/>
      <c r="I30" s="77"/>
      <c r="J30" s="77"/>
      <c r="K30" s="77"/>
      <c r="L30" s="77"/>
      <c r="M30" s="77"/>
      <c r="N30" s="77"/>
      <c r="O30" s="77"/>
    </row>
    <row r="31" spans="1:15" ht="20.25" x14ac:dyDescent="0.25">
      <c r="A31" s="97"/>
      <c r="B31" s="97"/>
      <c r="C31" s="99"/>
      <c r="D31" s="99"/>
      <c r="E31" s="77"/>
      <c r="F31" s="77"/>
      <c r="G31" s="77"/>
      <c r="H31" s="77"/>
      <c r="I31" s="77"/>
      <c r="J31" s="77"/>
      <c r="K31" s="77"/>
      <c r="L31" s="77"/>
      <c r="M31" s="77"/>
      <c r="N31" s="77"/>
      <c r="O31" s="77"/>
    </row>
    <row r="32" spans="1:15" ht="20.25" x14ac:dyDescent="0.25">
      <c r="A32" s="97"/>
      <c r="B32" s="97"/>
      <c r="C32" s="99"/>
      <c r="D32" s="99"/>
      <c r="E32" s="77"/>
      <c r="F32" s="77"/>
      <c r="G32" s="77"/>
      <c r="H32" s="77"/>
      <c r="I32" s="77"/>
      <c r="J32" s="77"/>
      <c r="K32" s="77"/>
      <c r="L32" s="77"/>
      <c r="M32" s="77"/>
      <c r="N32" s="77"/>
      <c r="O32" s="77"/>
    </row>
    <row r="33" spans="1:15" ht="20.25" x14ac:dyDescent="0.25">
      <c r="A33" s="97"/>
      <c r="B33" s="97"/>
      <c r="C33" s="99"/>
      <c r="D33" s="99"/>
      <c r="E33" s="77"/>
      <c r="F33" s="77"/>
      <c r="G33" s="77"/>
      <c r="H33" s="77"/>
      <c r="I33" s="77"/>
      <c r="J33" s="77"/>
      <c r="K33" s="77"/>
      <c r="L33" s="77"/>
      <c r="M33" s="77"/>
      <c r="N33" s="77"/>
      <c r="O33" s="77"/>
    </row>
    <row r="34" spans="1:15" ht="20.25" x14ac:dyDescent="0.25">
      <c r="A34" s="97"/>
      <c r="B34" s="97"/>
      <c r="C34" s="99"/>
      <c r="D34" s="99"/>
      <c r="E34" s="77"/>
      <c r="F34" s="77"/>
      <c r="G34" s="77"/>
      <c r="H34" s="77"/>
      <c r="I34" s="77"/>
      <c r="J34" s="77"/>
      <c r="K34" s="77"/>
      <c r="L34" s="77"/>
      <c r="M34" s="77"/>
      <c r="N34" s="77"/>
      <c r="O34" s="77"/>
    </row>
    <row r="35" spans="1:15" ht="20.25" x14ac:dyDescent="0.25">
      <c r="A35" s="97"/>
      <c r="B35" s="97"/>
      <c r="C35" s="99"/>
      <c r="D35" s="99"/>
      <c r="E35" s="77"/>
      <c r="F35" s="77"/>
      <c r="G35" s="77"/>
      <c r="H35" s="77"/>
      <c r="I35" s="77"/>
      <c r="J35" s="77"/>
      <c r="K35" s="77"/>
      <c r="L35" s="77"/>
      <c r="M35" s="77"/>
      <c r="N35" s="77"/>
      <c r="O35" s="77"/>
    </row>
    <row r="36" spans="1:15" ht="20.25" x14ac:dyDescent="0.25">
      <c r="A36" s="97"/>
      <c r="B36" s="97"/>
      <c r="C36" s="99"/>
      <c r="D36" s="99"/>
      <c r="E36" s="77"/>
      <c r="F36" s="77"/>
      <c r="G36" s="77"/>
      <c r="H36" s="77"/>
      <c r="I36" s="77"/>
      <c r="J36" s="77"/>
      <c r="K36" s="77"/>
      <c r="L36" s="77"/>
      <c r="M36" s="77"/>
      <c r="N36" s="77"/>
      <c r="O36" s="77"/>
    </row>
    <row r="37" spans="1:15" ht="20.25" x14ac:dyDescent="0.25">
      <c r="A37" s="97"/>
      <c r="B37" s="97"/>
      <c r="C37" s="99"/>
      <c r="D37" s="99"/>
      <c r="E37" s="77"/>
      <c r="F37" s="77"/>
      <c r="G37" s="77"/>
      <c r="H37" s="77"/>
      <c r="I37" s="77"/>
      <c r="J37" s="77"/>
      <c r="K37" s="77"/>
      <c r="L37" s="77"/>
      <c r="M37" s="77"/>
      <c r="N37" s="77"/>
      <c r="O37" s="77"/>
    </row>
    <row r="38" spans="1:15" ht="20.25" x14ac:dyDescent="0.25">
      <c r="A38" s="97"/>
      <c r="B38" s="97"/>
      <c r="C38" s="99"/>
      <c r="D38" s="99"/>
      <c r="E38" s="77"/>
      <c r="F38" s="77"/>
      <c r="G38" s="77"/>
      <c r="H38" s="77"/>
      <c r="I38" s="77"/>
      <c r="J38" s="77"/>
      <c r="K38" s="77"/>
      <c r="L38" s="77"/>
      <c r="M38" s="77"/>
      <c r="N38" s="77"/>
      <c r="O38" s="77"/>
    </row>
    <row r="39" spans="1:15" ht="20.25" x14ac:dyDescent="0.25">
      <c r="A39" s="97"/>
      <c r="B39" s="97"/>
      <c r="C39" s="99"/>
      <c r="D39" s="99"/>
      <c r="E39" s="77"/>
      <c r="F39" s="77"/>
      <c r="G39" s="77"/>
      <c r="H39" s="77"/>
      <c r="I39" s="77"/>
      <c r="J39" s="77"/>
      <c r="K39" s="77"/>
      <c r="L39" s="77"/>
      <c r="M39" s="77"/>
      <c r="N39" s="77"/>
      <c r="O39" s="77"/>
    </row>
    <row r="40" spans="1:15" ht="20.25" x14ac:dyDescent="0.25">
      <c r="A40" s="97"/>
      <c r="B40" s="97"/>
      <c r="C40" s="99"/>
      <c r="D40" s="99"/>
      <c r="E40" s="77"/>
      <c r="F40" s="77"/>
      <c r="G40" s="77"/>
      <c r="H40" s="77"/>
      <c r="I40" s="77"/>
      <c r="J40" s="77"/>
      <c r="K40" s="77"/>
      <c r="L40" s="77"/>
      <c r="M40" s="77"/>
      <c r="N40" s="77"/>
      <c r="O40" s="77"/>
    </row>
    <row r="41" spans="1:15" ht="20.25" x14ac:dyDescent="0.25">
      <c r="A41" s="97"/>
      <c r="B41" s="97"/>
      <c r="C41" s="99"/>
      <c r="D41" s="99"/>
      <c r="E41" s="77"/>
      <c r="F41" s="77"/>
      <c r="G41" s="77"/>
      <c r="H41" s="77"/>
      <c r="I41" s="77"/>
      <c r="J41" s="77"/>
      <c r="K41" s="77"/>
      <c r="L41" s="77"/>
      <c r="M41" s="77"/>
      <c r="N41" s="77"/>
      <c r="O41" s="77"/>
    </row>
    <row r="42" spans="1:15" ht="20.25" x14ac:dyDescent="0.25">
      <c r="A42" s="97"/>
      <c r="B42" s="97"/>
      <c r="C42" s="99"/>
      <c r="D42" s="99"/>
      <c r="E42" s="77"/>
      <c r="F42" s="77"/>
      <c r="G42" s="77"/>
      <c r="H42" s="77"/>
      <c r="I42" s="77"/>
      <c r="J42" s="77"/>
      <c r="K42" s="77"/>
      <c r="L42" s="77"/>
      <c r="M42" s="77"/>
      <c r="N42" s="77"/>
      <c r="O42" s="77"/>
    </row>
    <row r="43" spans="1:15" ht="20.25" x14ac:dyDescent="0.25">
      <c r="A43" s="97"/>
      <c r="B43" s="97"/>
      <c r="C43" s="99"/>
      <c r="D43" s="99"/>
      <c r="E43" s="77"/>
      <c r="F43" s="77"/>
      <c r="G43" s="77"/>
      <c r="H43" s="77"/>
      <c r="I43" s="77"/>
      <c r="J43" s="77"/>
      <c r="K43" s="77"/>
      <c r="L43" s="77"/>
      <c r="M43" s="77"/>
      <c r="N43" s="77"/>
      <c r="O43" s="77"/>
    </row>
    <row r="44" spans="1:15" ht="20.25" x14ac:dyDescent="0.25">
      <c r="A44" s="97"/>
      <c r="B44" s="97"/>
      <c r="C44" s="99"/>
      <c r="D44" s="99"/>
      <c r="E44" s="77"/>
      <c r="F44" s="77"/>
      <c r="G44" s="77"/>
      <c r="H44" s="77"/>
      <c r="I44" s="77"/>
      <c r="J44" s="77"/>
      <c r="K44" s="77"/>
      <c r="L44" s="77"/>
      <c r="M44" s="77"/>
      <c r="N44" s="77"/>
      <c r="O44" s="77"/>
    </row>
    <row r="45" spans="1:15" ht="20.25" x14ac:dyDescent="0.25">
      <c r="A45" s="97"/>
      <c r="B45" s="97"/>
      <c r="C45" s="99"/>
      <c r="D45" s="99"/>
      <c r="E45" s="77"/>
      <c r="F45" s="77"/>
      <c r="G45" s="77"/>
      <c r="H45" s="77"/>
      <c r="I45" s="77"/>
      <c r="J45" s="77"/>
      <c r="K45" s="77"/>
      <c r="L45" s="77"/>
      <c r="M45" s="77"/>
      <c r="N45" s="77"/>
      <c r="O45" s="77"/>
    </row>
    <row r="46" spans="1:15" ht="20.25" x14ac:dyDescent="0.25">
      <c r="A46" s="97"/>
      <c r="B46" s="97"/>
      <c r="C46" s="99"/>
      <c r="D46" s="99"/>
      <c r="E46" s="77"/>
      <c r="F46" s="77"/>
      <c r="G46" s="77"/>
      <c r="H46" s="77"/>
      <c r="I46" s="77"/>
      <c r="J46" s="77"/>
      <c r="K46" s="77"/>
      <c r="L46" s="77"/>
      <c r="M46" s="77"/>
      <c r="N46" s="77"/>
      <c r="O46" s="77"/>
    </row>
    <row r="47" spans="1:15" ht="20.25" x14ac:dyDescent="0.25">
      <c r="A47" s="97"/>
      <c r="B47" s="97"/>
      <c r="C47" s="99"/>
      <c r="D47" s="99"/>
      <c r="E47" s="77"/>
      <c r="F47" s="77"/>
      <c r="G47" s="77"/>
      <c r="H47" s="77"/>
      <c r="I47" s="77"/>
      <c r="J47" s="77"/>
      <c r="K47" s="77"/>
      <c r="L47" s="77"/>
      <c r="M47" s="77"/>
      <c r="N47" s="77"/>
      <c r="O47" s="77"/>
    </row>
    <row r="48" spans="1:15" ht="20.25" x14ac:dyDescent="0.25">
      <c r="A48" s="97"/>
      <c r="B48" s="97"/>
      <c r="C48" s="99"/>
      <c r="D48" s="99"/>
      <c r="E48" s="77"/>
      <c r="F48" s="77"/>
      <c r="G48" s="77"/>
      <c r="H48" s="77"/>
      <c r="I48" s="77"/>
      <c r="J48" s="77"/>
      <c r="K48" s="77"/>
      <c r="L48" s="77"/>
      <c r="M48" s="77"/>
      <c r="N48" s="77"/>
      <c r="O48" s="77"/>
    </row>
    <row r="49" spans="1:15" ht="20.25" x14ac:dyDescent="0.25">
      <c r="A49" s="97"/>
      <c r="B49" s="97"/>
      <c r="C49" s="99"/>
      <c r="D49" s="99"/>
      <c r="E49" s="77"/>
      <c r="F49" s="77"/>
      <c r="G49" s="77"/>
      <c r="H49" s="77"/>
      <c r="I49" s="77"/>
      <c r="J49" s="77"/>
      <c r="K49" s="77"/>
      <c r="L49" s="77"/>
      <c r="M49" s="77"/>
      <c r="N49" s="77"/>
      <c r="O49" s="77"/>
    </row>
    <row r="50" spans="1:15" ht="20.25" x14ac:dyDescent="0.25">
      <c r="A50" s="97"/>
      <c r="B50" s="97"/>
      <c r="C50" s="99"/>
      <c r="D50" s="99"/>
      <c r="E50" s="77"/>
      <c r="F50" s="77"/>
      <c r="G50" s="77"/>
      <c r="H50" s="77"/>
      <c r="I50" s="77"/>
      <c r="J50" s="77"/>
      <c r="K50" s="77"/>
      <c r="L50" s="77"/>
      <c r="M50" s="77"/>
      <c r="N50" s="77"/>
      <c r="O50" s="77"/>
    </row>
    <row r="51" spans="1:15" ht="20.25" x14ac:dyDescent="0.25">
      <c r="A51" s="97"/>
      <c r="B51" s="97"/>
      <c r="C51" s="99"/>
      <c r="D51" s="99"/>
      <c r="E51" s="77"/>
      <c r="F51" s="77"/>
      <c r="G51" s="77"/>
      <c r="H51" s="77"/>
      <c r="I51" s="77"/>
      <c r="J51" s="77"/>
      <c r="K51" s="77"/>
      <c r="L51" s="77"/>
      <c r="M51" s="77"/>
      <c r="N51" s="77"/>
      <c r="O51" s="77"/>
    </row>
    <row r="52" spans="1:15" ht="20.25" x14ac:dyDescent="0.25">
      <c r="A52" s="97"/>
      <c r="B52" s="21"/>
      <c r="C52" s="28"/>
      <c r="D52" s="28"/>
    </row>
    <row r="53" spans="1:15" ht="20.25" x14ac:dyDescent="0.25">
      <c r="A53" s="97"/>
      <c r="B53" s="21"/>
      <c r="C53" s="28"/>
      <c r="D53" s="28"/>
    </row>
    <row r="54" spans="1:15" ht="20.25" x14ac:dyDescent="0.25">
      <c r="A54" s="97"/>
      <c r="B54" s="21"/>
      <c r="C54" s="28"/>
      <c r="D54" s="28"/>
    </row>
    <row r="55" spans="1:15" ht="20.25" x14ac:dyDescent="0.25">
      <c r="A55" s="97"/>
      <c r="B55" s="21"/>
      <c r="C55" s="28"/>
      <c r="D55" s="28"/>
    </row>
    <row r="56" spans="1:15" ht="20.25" x14ac:dyDescent="0.25">
      <c r="A56" s="97"/>
      <c r="B56" s="21"/>
      <c r="C56" s="28"/>
      <c r="D56" s="28"/>
    </row>
    <row r="57" spans="1:15" ht="20.25" x14ac:dyDescent="0.25">
      <c r="A57" s="97"/>
      <c r="B57" s="21"/>
      <c r="C57" s="28"/>
      <c r="D57" s="28"/>
    </row>
    <row r="58" spans="1:15" ht="20.25" x14ac:dyDescent="0.25">
      <c r="A58" s="97"/>
      <c r="B58" s="21"/>
      <c r="C58" s="28"/>
      <c r="D58" s="28"/>
    </row>
    <row r="59" spans="1:15" ht="20.25" x14ac:dyDescent="0.25">
      <c r="A59" s="97"/>
      <c r="B59" s="21"/>
      <c r="C59" s="28"/>
      <c r="D59" s="28"/>
    </row>
    <row r="60" spans="1:15" ht="20.25" x14ac:dyDescent="0.25">
      <c r="A60" s="97"/>
      <c r="B60" s="21"/>
      <c r="C60" s="28"/>
      <c r="D60" s="28"/>
    </row>
    <row r="61" spans="1:15" ht="20.25" x14ac:dyDescent="0.25">
      <c r="A61" s="97"/>
      <c r="B61" s="21"/>
      <c r="C61" s="28"/>
      <c r="D61" s="28"/>
    </row>
    <row r="62" spans="1:15" ht="20.25" x14ac:dyDescent="0.25">
      <c r="A62" s="97"/>
      <c r="B62" s="21"/>
      <c r="C62" s="28"/>
      <c r="D62" s="28"/>
    </row>
    <row r="63" spans="1:15" ht="20.25" x14ac:dyDescent="0.25">
      <c r="A63" s="97"/>
      <c r="B63" s="21"/>
      <c r="C63" s="28"/>
      <c r="D63" s="28"/>
    </row>
    <row r="64" spans="1:15" ht="20.25" x14ac:dyDescent="0.25">
      <c r="A64" s="97"/>
      <c r="B64" s="21"/>
      <c r="C64" s="28"/>
      <c r="D64" s="28"/>
    </row>
    <row r="65" spans="1:4" ht="20.25" x14ac:dyDescent="0.25">
      <c r="A65" s="97"/>
      <c r="B65" s="21"/>
      <c r="C65" s="28"/>
      <c r="D65" s="28"/>
    </row>
    <row r="66" spans="1:4" ht="20.25" x14ac:dyDescent="0.25">
      <c r="A66" s="97"/>
      <c r="B66" s="21"/>
      <c r="C66" s="28"/>
      <c r="D66" s="28"/>
    </row>
    <row r="67" spans="1:4" ht="20.25" x14ac:dyDescent="0.25">
      <c r="A67" s="97"/>
      <c r="B67" s="21"/>
      <c r="C67" s="28"/>
      <c r="D67" s="28"/>
    </row>
    <row r="68" spans="1:4" ht="20.25" x14ac:dyDescent="0.25">
      <c r="A68" s="97"/>
      <c r="B68" s="21"/>
      <c r="C68" s="28"/>
      <c r="D68" s="28"/>
    </row>
    <row r="69" spans="1:4" ht="20.25" x14ac:dyDescent="0.25">
      <c r="A69" s="97"/>
      <c r="B69" s="21"/>
      <c r="C69" s="28"/>
      <c r="D69" s="28"/>
    </row>
    <row r="70" spans="1:4" ht="20.25" x14ac:dyDescent="0.25">
      <c r="A70" s="97"/>
      <c r="B70" s="21"/>
      <c r="C70" s="28"/>
      <c r="D70" s="28"/>
    </row>
    <row r="71" spans="1:4" ht="20.25" x14ac:dyDescent="0.25">
      <c r="A71" s="97"/>
      <c r="B71" s="21"/>
      <c r="C71" s="28"/>
      <c r="D71" s="28"/>
    </row>
    <row r="72" spans="1:4" ht="20.25" x14ac:dyDescent="0.25">
      <c r="A72" s="97"/>
      <c r="B72" s="21"/>
      <c r="C72" s="28"/>
      <c r="D72" s="28"/>
    </row>
    <row r="73" spans="1:4" ht="20.25" x14ac:dyDescent="0.25">
      <c r="A73" s="97"/>
      <c r="B73" s="21"/>
      <c r="C73" s="28"/>
      <c r="D73" s="28"/>
    </row>
    <row r="74" spans="1:4" ht="20.25" x14ac:dyDescent="0.25">
      <c r="A74" s="97"/>
      <c r="B74" s="21"/>
      <c r="C74" s="28"/>
      <c r="D74" s="28"/>
    </row>
    <row r="75" spans="1:4" ht="20.25" x14ac:dyDescent="0.25">
      <c r="A75" s="97"/>
      <c r="B75" s="21"/>
      <c r="C75" s="28"/>
      <c r="D75" s="28"/>
    </row>
    <row r="76" spans="1:4" ht="20.25" x14ac:dyDescent="0.25">
      <c r="A76" s="97"/>
      <c r="B76" s="21"/>
      <c r="C76" s="28"/>
      <c r="D76" s="28"/>
    </row>
    <row r="77" spans="1:4" ht="20.25" x14ac:dyDescent="0.25">
      <c r="A77" s="97"/>
      <c r="B77" s="21"/>
      <c r="C77" s="28"/>
      <c r="D77" s="28"/>
    </row>
    <row r="78" spans="1:4" ht="20.25" x14ac:dyDescent="0.25">
      <c r="A78" s="97"/>
      <c r="B78" s="21"/>
      <c r="C78" s="28"/>
      <c r="D78" s="28"/>
    </row>
    <row r="79" spans="1:4" ht="20.25" x14ac:dyDescent="0.25">
      <c r="A79" s="97"/>
      <c r="B79" s="21"/>
      <c r="C79" s="28"/>
      <c r="D79" s="28"/>
    </row>
    <row r="80" spans="1:4" ht="20.25" x14ac:dyDescent="0.25">
      <c r="A80" s="97"/>
      <c r="B80" s="21"/>
      <c r="C80" s="28"/>
      <c r="D80" s="28"/>
    </row>
    <row r="81" spans="1:4" ht="20.25" x14ac:dyDescent="0.25">
      <c r="A81" s="97"/>
      <c r="B81" s="21"/>
      <c r="C81" s="28"/>
      <c r="D81" s="28"/>
    </row>
    <row r="82" spans="1:4" ht="20.25" x14ac:dyDescent="0.25">
      <c r="A82" s="97"/>
      <c r="B82" s="21"/>
      <c r="C82" s="28"/>
      <c r="D82" s="28"/>
    </row>
    <row r="83" spans="1:4" ht="20.25" x14ac:dyDescent="0.25">
      <c r="A83" s="97"/>
      <c r="B83" s="21"/>
      <c r="C83" s="28"/>
      <c r="D83" s="28"/>
    </row>
    <row r="84" spans="1:4" ht="20.25" x14ac:dyDescent="0.25">
      <c r="A84" s="97"/>
      <c r="B84" s="21"/>
      <c r="C84" s="28"/>
      <c r="D84" s="28"/>
    </row>
    <row r="85" spans="1:4" ht="20.25" x14ac:dyDescent="0.25">
      <c r="A85" s="97"/>
      <c r="B85" s="21"/>
      <c r="C85" s="28"/>
      <c r="D85" s="28"/>
    </row>
    <row r="86" spans="1:4" ht="20.25" x14ac:dyDescent="0.25">
      <c r="A86" s="97"/>
      <c r="B86" s="21"/>
      <c r="C86" s="28"/>
      <c r="D86" s="28"/>
    </row>
    <row r="87" spans="1:4" ht="20.25" x14ac:dyDescent="0.25">
      <c r="A87" s="97"/>
      <c r="B87" s="21"/>
      <c r="C87" s="28"/>
      <c r="D87" s="28"/>
    </row>
    <row r="88" spans="1:4" ht="20.25" x14ac:dyDescent="0.25">
      <c r="A88" s="97"/>
      <c r="B88" s="21"/>
      <c r="C88" s="28"/>
      <c r="D88" s="28"/>
    </row>
    <row r="89" spans="1:4" ht="20.25" x14ac:dyDescent="0.25">
      <c r="A89" s="97"/>
      <c r="B89" s="21"/>
      <c r="C89" s="28"/>
      <c r="D89" s="28"/>
    </row>
    <row r="90" spans="1:4" ht="20.25" x14ac:dyDescent="0.25">
      <c r="A90" s="97"/>
      <c r="B90" s="21"/>
      <c r="C90" s="28"/>
      <c r="D90" s="28"/>
    </row>
    <row r="91" spans="1:4" ht="20.25" x14ac:dyDescent="0.25">
      <c r="A91" s="97"/>
      <c r="B91" s="21"/>
      <c r="C91" s="28"/>
      <c r="D91" s="28"/>
    </row>
    <row r="92" spans="1:4" ht="20.25" x14ac:dyDescent="0.25">
      <c r="A92" s="97"/>
      <c r="B92" s="21"/>
      <c r="C92" s="28"/>
      <c r="D92" s="28"/>
    </row>
    <row r="93" spans="1:4" ht="20.25" x14ac:dyDescent="0.25">
      <c r="A93" s="97"/>
      <c r="B93" s="21"/>
      <c r="C93" s="28"/>
      <c r="D93" s="28"/>
    </row>
    <row r="94" spans="1:4" ht="20.25" x14ac:dyDescent="0.25">
      <c r="A94" s="97"/>
      <c r="B94" s="21"/>
      <c r="C94" s="28"/>
      <c r="D94" s="28"/>
    </row>
    <row r="95" spans="1:4" ht="20.25" x14ac:dyDescent="0.25">
      <c r="A95" s="97"/>
      <c r="B95" s="21"/>
      <c r="C95" s="28"/>
      <c r="D95" s="28"/>
    </row>
    <row r="96" spans="1:4" ht="20.25" x14ac:dyDescent="0.25">
      <c r="A96" s="97"/>
      <c r="B96" s="21"/>
      <c r="C96" s="28"/>
      <c r="D96" s="28"/>
    </row>
    <row r="97" spans="1:4" ht="20.25" x14ac:dyDescent="0.25">
      <c r="A97" s="97"/>
      <c r="B97" s="21"/>
      <c r="C97" s="28"/>
      <c r="D97" s="28"/>
    </row>
    <row r="98" spans="1:4" ht="20.25" x14ac:dyDescent="0.25">
      <c r="A98" s="97"/>
      <c r="B98" s="21"/>
      <c r="C98" s="28"/>
      <c r="D98" s="28"/>
    </row>
    <row r="99" spans="1:4" ht="20.25" x14ac:dyDescent="0.25">
      <c r="A99" s="97"/>
      <c r="B99" s="21"/>
      <c r="C99" s="28"/>
      <c r="D99" s="28"/>
    </row>
    <row r="100" spans="1:4" ht="20.25" x14ac:dyDescent="0.25">
      <c r="A100" s="97"/>
      <c r="B100" s="21"/>
      <c r="C100" s="28"/>
      <c r="D100" s="28"/>
    </row>
    <row r="101" spans="1:4" ht="20.25" x14ac:dyDescent="0.25">
      <c r="A101" s="97"/>
      <c r="B101" s="21"/>
      <c r="C101" s="28"/>
      <c r="D101" s="28"/>
    </row>
    <row r="102" spans="1:4" ht="20.25" x14ac:dyDescent="0.25">
      <c r="A102" s="97"/>
      <c r="B102" s="21"/>
      <c r="C102" s="28"/>
      <c r="D102" s="28"/>
    </row>
    <row r="103" spans="1:4" ht="20.25" x14ac:dyDescent="0.25">
      <c r="A103" s="97"/>
      <c r="B103" s="21"/>
      <c r="C103" s="28"/>
      <c r="D103" s="28"/>
    </row>
    <row r="104" spans="1:4" ht="20.25" x14ac:dyDescent="0.25">
      <c r="A104" s="97"/>
      <c r="B104" s="21"/>
      <c r="C104" s="28"/>
      <c r="D104" s="28"/>
    </row>
    <row r="105" spans="1:4" ht="20.25" x14ac:dyDescent="0.25">
      <c r="A105" s="97"/>
      <c r="B105" s="21"/>
      <c r="C105" s="28"/>
      <c r="D105" s="28"/>
    </row>
    <row r="106" spans="1:4" ht="20.25" x14ac:dyDescent="0.25">
      <c r="A106" s="97"/>
      <c r="B106" s="21"/>
      <c r="C106" s="28"/>
      <c r="D106" s="28"/>
    </row>
    <row r="107" spans="1:4" ht="20.25" x14ac:dyDescent="0.25">
      <c r="A107" s="97"/>
      <c r="B107" s="21"/>
      <c r="C107" s="28"/>
      <c r="D107" s="28"/>
    </row>
    <row r="108" spans="1:4" ht="20.25" x14ac:dyDescent="0.25">
      <c r="A108" s="97"/>
      <c r="B108" s="21"/>
      <c r="C108" s="28"/>
      <c r="D108" s="28"/>
    </row>
    <row r="109" spans="1:4" ht="20.25" x14ac:dyDescent="0.25">
      <c r="A109" s="97"/>
      <c r="B109" s="21"/>
      <c r="C109" s="28"/>
      <c r="D109" s="28"/>
    </row>
    <row r="110" spans="1:4" ht="20.25" x14ac:dyDescent="0.25">
      <c r="A110" s="97"/>
      <c r="B110" s="21"/>
      <c r="C110" s="28"/>
      <c r="D110" s="28"/>
    </row>
    <row r="111" spans="1:4" ht="20.25" x14ac:dyDescent="0.25">
      <c r="A111" s="97"/>
      <c r="B111" s="21"/>
      <c r="C111" s="28"/>
      <c r="D111" s="28"/>
    </row>
    <row r="112" spans="1:4" ht="20.25" x14ac:dyDescent="0.25">
      <c r="A112" s="97"/>
      <c r="B112" s="21"/>
      <c r="C112" s="28"/>
      <c r="D112" s="28"/>
    </row>
    <row r="113" spans="1:4" ht="20.25" x14ac:dyDescent="0.25">
      <c r="A113" s="97"/>
      <c r="B113" s="21"/>
      <c r="C113" s="28"/>
      <c r="D113" s="28"/>
    </row>
    <row r="114" spans="1:4" ht="20.25" x14ac:dyDescent="0.25">
      <c r="A114" s="97"/>
      <c r="B114" s="21"/>
      <c r="C114" s="28"/>
      <c r="D114" s="28"/>
    </row>
    <row r="115" spans="1:4" ht="20.25" x14ac:dyDescent="0.25">
      <c r="A115" s="97"/>
      <c r="B115" s="21"/>
      <c r="C115" s="28"/>
      <c r="D115" s="28"/>
    </row>
    <row r="116" spans="1:4" ht="20.25" x14ac:dyDescent="0.25">
      <c r="A116" s="97"/>
      <c r="B116" s="21"/>
      <c r="C116" s="28"/>
      <c r="D116" s="28"/>
    </row>
    <row r="117" spans="1:4" ht="20.25" x14ac:dyDescent="0.25">
      <c r="A117" s="97"/>
      <c r="B117" s="21"/>
      <c r="C117" s="28"/>
      <c r="D117" s="28"/>
    </row>
    <row r="118" spans="1:4" ht="20.25" x14ac:dyDescent="0.25">
      <c r="A118" s="97"/>
      <c r="B118" s="21"/>
      <c r="C118" s="28"/>
      <c r="D118" s="28"/>
    </row>
    <row r="119" spans="1:4" ht="20.25" x14ac:dyDescent="0.25">
      <c r="A119" s="97"/>
      <c r="B119" s="21"/>
      <c r="C119" s="28"/>
      <c r="D119" s="28"/>
    </row>
    <row r="120" spans="1:4" ht="20.25" x14ac:dyDescent="0.25">
      <c r="A120" s="97"/>
      <c r="B120" s="21"/>
      <c r="C120" s="28"/>
      <c r="D120" s="28"/>
    </row>
    <row r="121" spans="1:4" ht="20.25" x14ac:dyDescent="0.25">
      <c r="A121" s="97"/>
      <c r="B121" s="21"/>
      <c r="C121" s="28"/>
      <c r="D121" s="28"/>
    </row>
    <row r="122" spans="1:4" ht="20.25" x14ac:dyDescent="0.25">
      <c r="A122" s="97"/>
      <c r="B122" s="21"/>
      <c r="C122" s="28"/>
      <c r="D122" s="28"/>
    </row>
    <row r="123" spans="1:4" ht="20.25" x14ac:dyDescent="0.25">
      <c r="A123" s="97"/>
      <c r="B123" s="21"/>
      <c r="C123" s="28"/>
      <c r="D123" s="28"/>
    </row>
    <row r="124" spans="1:4" ht="20.25" x14ac:dyDescent="0.25">
      <c r="A124" s="97"/>
      <c r="B124" s="21"/>
      <c r="C124" s="28"/>
      <c r="D124" s="28"/>
    </row>
    <row r="125" spans="1:4" ht="20.25" x14ac:dyDescent="0.25">
      <c r="A125" s="97"/>
      <c r="B125" s="21"/>
      <c r="C125" s="28"/>
      <c r="D125" s="28"/>
    </row>
    <row r="126" spans="1:4" ht="20.25" x14ac:dyDescent="0.25">
      <c r="A126" s="97"/>
      <c r="B126" s="21"/>
      <c r="C126" s="28"/>
      <c r="D126" s="28"/>
    </row>
    <row r="127" spans="1:4" ht="20.25" x14ac:dyDescent="0.25">
      <c r="A127" s="97"/>
      <c r="B127" s="21"/>
      <c r="C127" s="28"/>
      <c r="D127" s="28"/>
    </row>
    <row r="128" spans="1:4" ht="20.25" x14ac:dyDescent="0.25">
      <c r="A128" s="97"/>
      <c r="B128" s="21"/>
      <c r="C128" s="28"/>
      <c r="D128" s="28"/>
    </row>
    <row r="129" spans="1:4" ht="20.25" x14ac:dyDescent="0.25">
      <c r="A129" s="97"/>
      <c r="B129" s="21"/>
      <c r="C129" s="28"/>
      <c r="D129" s="28"/>
    </row>
    <row r="130" spans="1:4" ht="20.25" x14ac:dyDescent="0.25">
      <c r="A130" s="97"/>
      <c r="B130" s="21"/>
      <c r="C130" s="28"/>
      <c r="D130" s="28"/>
    </row>
    <row r="131" spans="1:4" ht="20.25" x14ac:dyDescent="0.25">
      <c r="A131" s="97"/>
      <c r="B131" s="21"/>
      <c r="C131" s="28"/>
      <c r="D131" s="28"/>
    </row>
    <row r="132" spans="1:4" ht="20.25" x14ac:dyDescent="0.25">
      <c r="A132" s="97"/>
      <c r="B132" s="21"/>
      <c r="C132" s="28"/>
      <c r="D132" s="28"/>
    </row>
    <row r="133" spans="1:4" ht="20.25" x14ac:dyDescent="0.25">
      <c r="A133" s="97"/>
      <c r="B133" s="21"/>
      <c r="C133" s="28"/>
      <c r="D133" s="28"/>
    </row>
    <row r="134" spans="1:4" ht="20.25" x14ac:dyDescent="0.25">
      <c r="A134" s="97"/>
      <c r="B134" s="21"/>
      <c r="C134" s="28"/>
      <c r="D134" s="28"/>
    </row>
    <row r="135" spans="1:4" ht="20.25" x14ac:dyDescent="0.25">
      <c r="A135" s="97"/>
      <c r="B135" s="21"/>
      <c r="C135" s="28"/>
      <c r="D135" s="28"/>
    </row>
    <row r="136" spans="1:4" ht="20.25" x14ac:dyDescent="0.25">
      <c r="A136" s="97"/>
      <c r="B136" s="21"/>
      <c r="C136" s="28"/>
      <c r="D136" s="28"/>
    </row>
    <row r="137" spans="1:4" ht="20.25" x14ac:dyDescent="0.25">
      <c r="A137" s="97"/>
      <c r="B137" s="21"/>
      <c r="C137" s="28"/>
      <c r="D137" s="28"/>
    </row>
    <row r="138" spans="1:4" ht="20.25" x14ac:dyDescent="0.25">
      <c r="A138" s="97"/>
      <c r="B138" s="21"/>
      <c r="C138" s="28"/>
      <c r="D138" s="28"/>
    </row>
    <row r="139" spans="1:4" ht="20.25" x14ac:dyDescent="0.25">
      <c r="A139" s="97"/>
      <c r="B139" s="21"/>
      <c r="C139" s="28"/>
      <c r="D139" s="28"/>
    </row>
    <row r="140" spans="1:4" ht="20.25" x14ac:dyDescent="0.25">
      <c r="A140" s="97"/>
      <c r="B140" s="21"/>
      <c r="C140" s="28"/>
      <c r="D140" s="28"/>
    </row>
    <row r="141" spans="1:4" ht="20.25" x14ac:dyDescent="0.25">
      <c r="A141" s="97"/>
      <c r="B141" s="21"/>
      <c r="C141" s="28"/>
      <c r="D141" s="28"/>
    </row>
    <row r="142" spans="1:4" ht="20.25" x14ac:dyDescent="0.25">
      <c r="A142" s="97"/>
      <c r="B142" s="21"/>
      <c r="C142" s="28"/>
      <c r="D142" s="28"/>
    </row>
    <row r="143" spans="1:4" ht="20.25" x14ac:dyDescent="0.25">
      <c r="A143" s="97"/>
      <c r="B143" s="21"/>
      <c r="C143" s="28"/>
      <c r="D143" s="28"/>
    </row>
    <row r="144" spans="1:4" ht="20.25" x14ac:dyDescent="0.25">
      <c r="A144" s="97"/>
      <c r="B144" s="21"/>
      <c r="C144" s="28"/>
      <c r="D144" s="28"/>
    </row>
    <row r="145" spans="1:4" ht="20.25" x14ac:dyDescent="0.25">
      <c r="A145" s="97"/>
      <c r="B145" s="21"/>
      <c r="C145" s="28"/>
      <c r="D145" s="28"/>
    </row>
    <row r="146" spans="1:4" ht="20.25" x14ac:dyDescent="0.25">
      <c r="A146" s="97"/>
      <c r="B146" s="21"/>
      <c r="C146" s="28"/>
      <c r="D146" s="28"/>
    </row>
    <row r="147" spans="1:4" ht="20.25" x14ac:dyDescent="0.25">
      <c r="A147" s="97"/>
      <c r="B147" s="21"/>
      <c r="C147" s="28"/>
      <c r="D147" s="28"/>
    </row>
    <row r="148" spans="1:4" ht="20.25" x14ac:dyDescent="0.25">
      <c r="A148" s="97"/>
      <c r="B148" s="21"/>
      <c r="C148" s="28"/>
      <c r="D148" s="28"/>
    </row>
    <row r="149" spans="1:4" ht="20.25" x14ac:dyDescent="0.25">
      <c r="A149" s="97"/>
      <c r="B149" s="21"/>
      <c r="C149" s="28"/>
      <c r="D149" s="28"/>
    </row>
    <row r="150" spans="1:4" ht="20.25" x14ac:dyDescent="0.25">
      <c r="A150" s="97"/>
      <c r="B150" s="21"/>
      <c r="C150" s="28"/>
      <c r="D150" s="28"/>
    </row>
    <row r="151" spans="1:4" ht="20.25" x14ac:dyDescent="0.25">
      <c r="A151" s="97"/>
      <c r="B151" s="21"/>
      <c r="C151" s="28"/>
      <c r="D151" s="28"/>
    </row>
    <row r="152" spans="1:4" ht="20.25" x14ac:dyDescent="0.25">
      <c r="A152" s="97"/>
      <c r="B152" s="21"/>
      <c r="C152" s="28"/>
      <c r="D152" s="28"/>
    </row>
    <row r="153" spans="1:4" ht="20.25" x14ac:dyDescent="0.25">
      <c r="A153" s="97"/>
      <c r="B153" s="21"/>
      <c r="C153" s="28"/>
      <c r="D153" s="28"/>
    </row>
    <row r="154" spans="1:4" ht="20.25" x14ac:dyDescent="0.25">
      <c r="A154" s="97"/>
      <c r="B154" s="21"/>
      <c r="C154" s="28"/>
      <c r="D154" s="28"/>
    </row>
    <row r="155" spans="1:4" ht="20.25" x14ac:dyDescent="0.25">
      <c r="A155" s="97"/>
      <c r="B155" s="21"/>
      <c r="C155" s="28"/>
      <c r="D155" s="28"/>
    </row>
    <row r="156" spans="1:4" ht="20.25" x14ac:dyDescent="0.25">
      <c r="A156" s="97"/>
      <c r="B156" s="21"/>
      <c r="C156" s="28"/>
      <c r="D156" s="28"/>
    </row>
    <row r="157" spans="1:4" ht="20.25" x14ac:dyDescent="0.25">
      <c r="A157" s="97"/>
      <c r="B157" s="21"/>
      <c r="C157" s="28"/>
      <c r="D157" s="28"/>
    </row>
    <row r="158" spans="1:4" ht="20.25" x14ac:dyDescent="0.25">
      <c r="A158" s="97"/>
      <c r="B158" s="21"/>
      <c r="C158" s="28"/>
      <c r="D158" s="28"/>
    </row>
    <row r="159" spans="1:4" ht="20.25" x14ac:dyDescent="0.25">
      <c r="A159" s="97"/>
      <c r="B159" s="21"/>
      <c r="C159" s="28"/>
      <c r="D159" s="28"/>
    </row>
    <row r="160" spans="1:4" ht="20.25" x14ac:dyDescent="0.25">
      <c r="A160" s="97"/>
      <c r="B160" s="21"/>
      <c r="C160" s="28"/>
      <c r="D160" s="28"/>
    </row>
    <row r="161" spans="1:4" ht="20.25" x14ac:dyDescent="0.25">
      <c r="A161" s="97"/>
      <c r="B161" s="21"/>
      <c r="C161" s="28"/>
      <c r="D161" s="28"/>
    </row>
    <row r="162" spans="1:4" ht="20.25" x14ac:dyDescent="0.25">
      <c r="A162" s="97"/>
      <c r="B162" s="21"/>
      <c r="C162" s="28"/>
      <c r="D162" s="28"/>
    </row>
    <row r="163" spans="1:4" ht="20.25" x14ac:dyDescent="0.25">
      <c r="A163" s="97"/>
      <c r="B163" s="21"/>
      <c r="C163" s="28"/>
      <c r="D163" s="28"/>
    </row>
    <row r="164" spans="1:4" ht="20.25" x14ac:dyDescent="0.25">
      <c r="A164" s="97"/>
      <c r="B164" s="21"/>
      <c r="C164" s="28"/>
      <c r="D164" s="28"/>
    </row>
    <row r="165" spans="1:4" ht="20.25" x14ac:dyDescent="0.25">
      <c r="A165" s="97"/>
      <c r="B165" s="21"/>
      <c r="C165" s="28"/>
      <c r="D165" s="28"/>
    </row>
    <row r="166" spans="1:4" ht="20.25" x14ac:dyDescent="0.25">
      <c r="A166" s="97"/>
      <c r="B166" s="21"/>
      <c r="C166" s="28"/>
      <c r="D166" s="28"/>
    </row>
    <row r="167" spans="1:4" ht="20.25" x14ac:dyDescent="0.25">
      <c r="A167" s="97"/>
      <c r="B167" s="21"/>
      <c r="C167" s="28"/>
      <c r="D167" s="28"/>
    </row>
    <row r="168" spans="1:4" ht="20.25" x14ac:dyDescent="0.25">
      <c r="A168" s="97"/>
      <c r="B168" s="21"/>
      <c r="C168" s="28"/>
      <c r="D168" s="28"/>
    </row>
    <row r="169" spans="1:4" ht="20.25" x14ac:dyDescent="0.25">
      <c r="A169" s="97"/>
      <c r="B169" s="21"/>
      <c r="C169" s="28"/>
      <c r="D169" s="28"/>
    </row>
    <row r="170" spans="1:4" ht="20.25" x14ac:dyDescent="0.25">
      <c r="A170" s="97"/>
      <c r="B170" s="21"/>
      <c r="C170" s="28"/>
      <c r="D170" s="28"/>
    </row>
    <row r="171" spans="1:4" ht="20.25" x14ac:dyDescent="0.25">
      <c r="A171" s="97"/>
      <c r="B171" s="21"/>
      <c r="C171" s="28"/>
      <c r="D171" s="28"/>
    </row>
    <row r="172" spans="1:4" ht="20.25" x14ac:dyDescent="0.25">
      <c r="A172" s="97"/>
      <c r="B172" s="21"/>
      <c r="C172" s="28"/>
      <c r="D172" s="28"/>
    </row>
    <row r="173" spans="1:4" ht="20.25" x14ac:dyDescent="0.25">
      <c r="A173" s="97"/>
      <c r="B173" s="21"/>
      <c r="C173" s="28"/>
      <c r="D173" s="28"/>
    </row>
    <row r="174" spans="1:4" ht="20.25" x14ac:dyDescent="0.25">
      <c r="A174" s="97"/>
      <c r="B174" s="21"/>
      <c r="C174" s="28"/>
      <c r="D174" s="28"/>
    </row>
    <row r="175" spans="1:4" ht="20.25" x14ac:dyDescent="0.25">
      <c r="A175" s="97"/>
      <c r="B175" s="21"/>
      <c r="C175" s="28"/>
      <c r="D175" s="28"/>
    </row>
    <row r="176" spans="1:4" ht="20.25" x14ac:dyDescent="0.25">
      <c r="A176" s="97"/>
      <c r="B176" s="21"/>
      <c r="C176" s="28"/>
      <c r="D176" s="28"/>
    </row>
    <row r="177" spans="1:4" ht="20.25" x14ac:dyDescent="0.25">
      <c r="A177" s="97"/>
      <c r="B177" s="21"/>
      <c r="C177" s="28"/>
      <c r="D177" s="28"/>
    </row>
    <row r="178" spans="1:4" ht="20.25" x14ac:dyDescent="0.25">
      <c r="A178" s="97"/>
      <c r="B178" s="21"/>
      <c r="C178" s="28"/>
      <c r="D178" s="28"/>
    </row>
    <row r="179" spans="1:4" ht="20.25" x14ac:dyDescent="0.25">
      <c r="A179" s="97"/>
      <c r="B179" s="21"/>
      <c r="C179" s="28"/>
      <c r="D179" s="28"/>
    </row>
    <row r="180" spans="1:4" ht="20.25" x14ac:dyDescent="0.25">
      <c r="A180" s="97"/>
      <c r="B180" s="21"/>
      <c r="C180" s="28"/>
      <c r="D180" s="28"/>
    </row>
    <row r="181" spans="1:4" ht="20.25" x14ac:dyDescent="0.25">
      <c r="A181" s="97"/>
      <c r="B181" s="21"/>
      <c r="C181" s="28"/>
      <c r="D181" s="28"/>
    </row>
    <row r="182" spans="1:4" ht="20.25" x14ac:dyDescent="0.25">
      <c r="A182" s="97"/>
      <c r="B182" s="21"/>
      <c r="C182" s="28"/>
      <c r="D182" s="28"/>
    </row>
    <row r="183" spans="1:4" ht="20.25" x14ac:dyDescent="0.25">
      <c r="A183" s="97"/>
      <c r="B183" s="21"/>
      <c r="C183" s="28"/>
      <c r="D183" s="28"/>
    </row>
    <row r="184" spans="1:4" ht="20.25" x14ac:dyDescent="0.25">
      <c r="A184" s="97"/>
      <c r="B184" s="21"/>
      <c r="C184" s="28"/>
      <c r="D184" s="28"/>
    </row>
    <row r="185" spans="1:4" ht="20.25" x14ac:dyDescent="0.25">
      <c r="A185" s="97"/>
      <c r="B185" s="21"/>
      <c r="C185" s="28"/>
      <c r="D185" s="28"/>
    </row>
    <row r="186" spans="1:4" ht="20.25" x14ac:dyDescent="0.25">
      <c r="A186" s="97"/>
      <c r="B186" s="21"/>
      <c r="C186" s="28"/>
      <c r="D186" s="28"/>
    </row>
    <row r="187" spans="1:4" ht="20.25" x14ac:dyDescent="0.25">
      <c r="A187" s="97"/>
      <c r="B187" s="21"/>
      <c r="C187" s="28"/>
      <c r="D187" s="28"/>
    </row>
    <row r="188" spans="1:4" ht="20.25" x14ac:dyDescent="0.25">
      <c r="A188" s="97"/>
      <c r="B188" s="21"/>
      <c r="C188" s="28"/>
      <c r="D188" s="28"/>
    </row>
    <row r="189" spans="1:4" ht="20.25" x14ac:dyDescent="0.25">
      <c r="A189" s="97"/>
      <c r="B189" s="21"/>
      <c r="C189" s="28"/>
      <c r="D189" s="28"/>
    </row>
    <row r="190" spans="1:4" ht="20.25" x14ac:dyDescent="0.25">
      <c r="A190" s="97"/>
      <c r="B190" s="21"/>
      <c r="C190" s="28"/>
      <c r="D190" s="28"/>
    </row>
    <row r="191" spans="1:4" ht="20.25" x14ac:dyDescent="0.25">
      <c r="A191" s="97"/>
      <c r="B191" s="21"/>
      <c r="C191" s="28"/>
      <c r="D191" s="28"/>
    </row>
    <row r="192" spans="1:4" ht="20.25" x14ac:dyDescent="0.25">
      <c r="A192" s="97"/>
      <c r="B192" s="21"/>
      <c r="C192" s="28"/>
      <c r="D192" s="28"/>
    </row>
    <row r="193" spans="1:4" ht="20.25" x14ac:dyDescent="0.25">
      <c r="A193" s="97"/>
      <c r="B193" s="21"/>
      <c r="C193" s="28"/>
      <c r="D193" s="28"/>
    </row>
    <row r="194" spans="1:4" ht="20.25" x14ac:dyDescent="0.25">
      <c r="A194" s="97"/>
      <c r="B194" s="21"/>
      <c r="C194" s="28"/>
      <c r="D194" s="28"/>
    </row>
    <row r="195" spans="1:4" ht="20.25" x14ac:dyDescent="0.25">
      <c r="A195" s="97"/>
      <c r="B195" s="21"/>
      <c r="C195" s="28"/>
      <c r="D195" s="28"/>
    </row>
    <row r="196" spans="1:4" ht="20.25" x14ac:dyDescent="0.25">
      <c r="A196" s="97"/>
      <c r="B196" s="21"/>
      <c r="C196" s="28"/>
      <c r="D196" s="28"/>
    </row>
    <row r="197" spans="1:4" ht="20.25" x14ac:dyDescent="0.25">
      <c r="A197" s="97"/>
      <c r="B197" s="21"/>
      <c r="C197" s="28"/>
      <c r="D197" s="28"/>
    </row>
    <row r="198" spans="1:4" ht="20.25" x14ac:dyDescent="0.25">
      <c r="A198" s="97"/>
      <c r="B198" s="21"/>
      <c r="C198" s="28"/>
      <c r="D198" s="28"/>
    </row>
    <row r="199" spans="1:4" ht="20.25" x14ac:dyDescent="0.25">
      <c r="A199" s="97"/>
      <c r="B199" s="21"/>
      <c r="C199" s="28"/>
      <c r="D199" s="28"/>
    </row>
    <row r="200" spans="1:4" ht="20.25" x14ac:dyDescent="0.25">
      <c r="A200" s="97"/>
      <c r="B200" s="21"/>
      <c r="C200" s="28"/>
      <c r="D200" s="28"/>
    </row>
    <row r="201" spans="1:4" ht="20.25" x14ac:dyDescent="0.25">
      <c r="A201" s="97"/>
      <c r="B201" s="21"/>
      <c r="C201" s="28"/>
      <c r="D201" s="28"/>
    </row>
    <row r="202" spans="1:4" ht="20.25" x14ac:dyDescent="0.25">
      <c r="A202" s="97"/>
      <c r="B202" s="21"/>
      <c r="C202" s="28"/>
      <c r="D202" s="28"/>
    </row>
    <row r="203" spans="1:4" ht="20.25" x14ac:dyDescent="0.25">
      <c r="A203" s="97"/>
      <c r="B203" s="21"/>
      <c r="C203" s="28"/>
      <c r="D203" s="28"/>
    </row>
    <row r="204" spans="1:4" ht="20.25" x14ac:dyDescent="0.25">
      <c r="A204" s="97"/>
      <c r="B204" s="21"/>
      <c r="C204" s="28"/>
      <c r="D204" s="28"/>
    </row>
    <row r="205" spans="1:4" ht="20.25" x14ac:dyDescent="0.25">
      <c r="A205" s="97"/>
      <c r="B205" s="21"/>
      <c r="C205" s="28"/>
      <c r="D205" s="28"/>
    </row>
    <row r="206" spans="1:4" ht="20.25" x14ac:dyDescent="0.25">
      <c r="A206" s="97"/>
      <c r="B206" s="21"/>
      <c r="C206" s="28"/>
      <c r="D206" s="28"/>
    </row>
    <row r="207" spans="1:4" ht="20.25" x14ac:dyDescent="0.25">
      <c r="A207" s="97"/>
      <c r="B207" s="21"/>
      <c r="C207" s="28"/>
      <c r="D207" s="28"/>
    </row>
    <row r="208" spans="1:4" x14ac:dyDescent="0.25">
      <c r="A208" s="77"/>
      <c r="B208" s="21"/>
      <c r="C208" s="21"/>
      <c r="D208" s="21"/>
    </row>
    <row r="209" spans="1:8" ht="20.25" x14ac:dyDescent="0.25">
      <c r="A209" s="77"/>
      <c r="B209" s="24" t="s">
        <v>85</v>
      </c>
      <c r="C209" s="24" t="s">
        <v>138</v>
      </c>
      <c r="D209" s="27" t="s">
        <v>85</v>
      </c>
      <c r="E209" s="27" t="s">
        <v>138</v>
      </c>
    </row>
    <row r="210" spans="1:8" ht="21" x14ac:dyDescent="0.35">
      <c r="A210" s="77"/>
      <c r="B210" s="25" t="s">
        <v>87</v>
      </c>
      <c r="C210" s="25" t="s">
        <v>55</v>
      </c>
      <c r="D210" t="s">
        <v>87</v>
      </c>
      <c r="F210" t="str">
        <f>IF(NOT(ISBLANK(D210)),D210,IF(NOT(ISBLANK(E210)),"     "&amp;E210,FALSE))</f>
        <v>Afectación Económica o presupuestal</v>
      </c>
      <c r="G210" t="s">
        <v>87</v>
      </c>
      <c r="H210" t="str">
        <f>IF(NOT(ISERROR(MATCH(G210,_xlfn.ANCHORARRAY(B221),0))),F223&amp;"Por favor no seleccionar los criterios de impacto",G210)</f>
        <v>❌Por favor no seleccionar los criterios de impacto</v>
      </c>
    </row>
    <row r="211" spans="1:8" ht="21" x14ac:dyDescent="0.35">
      <c r="A211" s="77"/>
      <c r="B211" s="25" t="s">
        <v>87</v>
      </c>
      <c r="C211" s="25" t="s">
        <v>90</v>
      </c>
      <c r="E211" t="s">
        <v>55</v>
      </c>
      <c r="F211" t="str">
        <f t="shared" ref="F211:F221" si="0">IF(NOT(ISBLANK(D211)),D211,IF(NOT(ISBLANK(E211)),"     "&amp;E211,FALSE))</f>
        <v xml:space="preserve">     Afectación menor a 10 SMLMV .</v>
      </c>
    </row>
    <row r="212" spans="1:8" ht="21" x14ac:dyDescent="0.35">
      <c r="A212" s="77"/>
      <c r="B212" s="25" t="s">
        <v>87</v>
      </c>
      <c r="C212" s="25" t="s">
        <v>91</v>
      </c>
      <c r="E212" t="s">
        <v>90</v>
      </c>
      <c r="F212" t="str">
        <f t="shared" si="0"/>
        <v xml:space="preserve">     Entre 10 y 50 SMLMV </v>
      </c>
    </row>
    <row r="213" spans="1:8" ht="21" x14ac:dyDescent="0.35">
      <c r="A213" s="77"/>
      <c r="B213" s="25" t="s">
        <v>87</v>
      </c>
      <c r="C213" s="25" t="s">
        <v>92</v>
      </c>
      <c r="E213" t="s">
        <v>91</v>
      </c>
      <c r="F213" t="str">
        <f t="shared" si="0"/>
        <v xml:space="preserve">     Entre 50 y 100 SMLMV </v>
      </c>
    </row>
    <row r="214" spans="1:8" ht="21" x14ac:dyDescent="0.35">
      <c r="A214" s="77"/>
      <c r="B214" s="25" t="s">
        <v>87</v>
      </c>
      <c r="C214" s="25" t="s">
        <v>93</v>
      </c>
      <c r="E214" t="s">
        <v>92</v>
      </c>
      <c r="F214" t="str">
        <f t="shared" si="0"/>
        <v xml:space="preserve">     Entre 100 y 500 SMLMV </v>
      </c>
    </row>
    <row r="215" spans="1:8" ht="21" x14ac:dyDescent="0.35">
      <c r="A215" s="77"/>
      <c r="B215" s="25" t="s">
        <v>54</v>
      </c>
      <c r="C215" s="25" t="s">
        <v>94</v>
      </c>
      <c r="E215" t="s">
        <v>93</v>
      </c>
      <c r="F215" t="str">
        <f t="shared" si="0"/>
        <v xml:space="preserve">     Mayor a 500 SMLMV </v>
      </c>
    </row>
    <row r="216" spans="1:8" ht="21" x14ac:dyDescent="0.35">
      <c r="A216" s="77"/>
      <c r="B216" s="25" t="s">
        <v>54</v>
      </c>
      <c r="C216" s="25" t="s">
        <v>95</v>
      </c>
      <c r="D216" t="s">
        <v>54</v>
      </c>
      <c r="F216" t="str">
        <f t="shared" si="0"/>
        <v>Pérdida Reputacional</v>
      </c>
    </row>
    <row r="217" spans="1:8" ht="21" x14ac:dyDescent="0.35">
      <c r="A217" s="77"/>
      <c r="B217" s="25" t="s">
        <v>54</v>
      </c>
      <c r="C217" s="25" t="s">
        <v>97</v>
      </c>
      <c r="E217" t="s">
        <v>94</v>
      </c>
      <c r="F217" t="str">
        <f t="shared" si="0"/>
        <v xml:space="preserve">     El riesgo afecta la imagen de alguna área de la organización</v>
      </c>
    </row>
    <row r="218" spans="1:8" ht="21" x14ac:dyDescent="0.35">
      <c r="A218" s="77"/>
      <c r="B218" s="25" t="s">
        <v>54</v>
      </c>
      <c r="C218" s="25" t="s">
        <v>96</v>
      </c>
      <c r="E218" t="s">
        <v>95</v>
      </c>
      <c r="F218" t="str">
        <f t="shared" si="0"/>
        <v xml:space="preserve">     El riesgo afecta la imagen de la entidad internamente, de conocimiento general, nivel interno, de junta dircetiva y accionistas y/o de provedores</v>
      </c>
    </row>
    <row r="219" spans="1:8" ht="21" x14ac:dyDescent="0.35">
      <c r="A219" s="77"/>
      <c r="B219" s="25" t="s">
        <v>54</v>
      </c>
      <c r="C219" s="25" t="s">
        <v>115</v>
      </c>
      <c r="E219" t="s">
        <v>97</v>
      </c>
      <c r="F219" t="str">
        <f t="shared" si="0"/>
        <v xml:space="preserve">     El riesgo afecta la imagen de la entidad con algunos usuarios de relevancia frente al logro de los objetivos</v>
      </c>
    </row>
    <row r="220" spans="1:8" x14ac:dyDescent="0.25">
      <c r="A220" s="77"/>
      <c r="B220" s="26"/>
      <c r="C220" s="26"/>
      <c r="E220" t="s">
        <v>96</v>
      </c>
      <c r="F220" t="str">
        <f t="shared" si="0"/>
        <v xml:space="preserve">     El riesgo afecta la imagen de de la entidad con efecto publicitario sostenido a nivel de sector administrativo, nivel departamental o municipal</v>
      </c>
    </row>
    <row r="221" spans="1:8" x14ac:dyDescent="0.25">
      <c r="A221" s="77"/>
      <c r="B221" s="26" t="str" cm="1">
        <f t="array" ref="B221:B223">_xlfn.UNIQUE(Tabla1[[#All],[Criterios]])</f>
        <v>Criterios</v>
      </c>
      <c r="C221" s="26"/>
      <c r="E221" t="s">
        <v>115</v>
      </c>
      <c r="F221" t="str">
        <f t="shared" si="0"/>
        <v xml:space="preserve">     El riesgo afecta la imagen de la entidad a nivel nacional, con efecto publicitarios sostenible a nivel país</v>
      </c>
    </row>
    <row r="222" spans="1:8" x14ac:dyDescent="0.25">
      <c r="A222" s="77"/>
      <c r="B222" s="26" t="str">
        <v>Afectación Económica o presupuestal</v>
      </c>
      <c r="C222" s="26"/>
    </row>
    <row r="223" spans="1:8" x14ac:dyDescent="0.25">
      <c r="B223" s="26" t="str">
        <v>Pérdida Reputacional</v>
      </c>
      <c r="C223" s="26"/>
      <c r="F223" s="29" t="s">
        <v>140</v>
      </c>
    </row>
    <row r="224" spans="1:8" x14ac:dyDescent="0.25">
      <c r="B224" s="20"/>
      <c r="C224" s="20"/>
      <c r="F224" s="29" t="s">
        <v>141</v>
      </c>
    </row>
    <row r="225" spans="2:4" x14ac:dyDescent="0.25">
      <c r="B225" s="20"/>
      <c r="C225" s="20"/>
    </row>
    <row r="226" spans="2:4" x14ac:dyDescent="0.25">
      <c r="B226" s="20"/>
      <c r="C226" s="20"/>
    </row>
    <row r="227" spans="2:4" x14ac:dyDescent="0.25">
      <c r="B227" s="20"/>
      <c r="C227" s="20"/>
      <c r="D227" s="20"/>
    </row>
    <row r="228" spans="2:4" x14ac:dyDescent="0.25">
      <c r="B228" s="20"/>
      <c r="C228" s="20"/>
      <c r="D228" s="20"/>
    </row>
    <row r="229" spans="2:4" x14ac:dyDescent="0.25">
      <c r="B229" s="20"/>
      <c r="C229" s="20"/>
      <c r="D229" s="20"/>
    </row>
    <row r="230" spans="2:4" x14ac:dyDescent="0.25">
      <c r="B230" s="20"/>
      <c r="C230" s="20"/>
      <c r="D230" s="20"/>
    </row>
    <row r="231" spans="2:4" x14ac:dyDescent="0.25">
      <c r="B231" s="20"/>
      <c r="C231" s="20"/>
      <c r="D231" s="20"/>
    </row>
    <row r="232" spans="2:4" x14ac:dyDescent="0.25">
      <c r="B232" s="20"/>
      <c r="C232" s="20"/>
      <c r="D232" s="20"/>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2" workbookViewId="0">
      <selection activeCell="E4" sqref="E4"/>
    </sheetView>
  </sheetViews>
  <sheetFormatPr baseColWidth="10" defaultColWidth="14.28515625" defaultRowHeight="12.75" x14ac:dyDescent="0.2"/>
  <cols>
    <col min="1" max="2" width="14.28515625" style="82"/>
    <col min="3" max="3" width="17" style="82" customWidth="1"/>
    <col min="4" max="4" width="14.28515625" style="82"/>
    <col min="5" max="5" width="46" style="82" customWidth="1"/>
    <col min="6" max="16384" width="14.28515625" style="82"/>
  </cols>
  <sheetData>
    <row r="1" spans="2:6" ht="24" customHeight="1" thickBot="1" x14ac:dyDescent="0.25">
      <c r="B1" s="479" t="s">
        <v>75</v>
      </c>
      <c r="C1" s="480"/>
      <c r="D1" s="480"/>
      <c r="E1" s="480"/>
      <c r="F1" s="481"/>
    </row>
    <row r="2" spans="2:6" ht="16.5" thickBot="1" x14ac:dyDescent="0.3">
      <c r="B2" s="83"/>
      <c r="C2" s="83"/>
      <c r="D2" s="83"/>
      <c r="E2" s="83"/>
      <c r="F2" s="83"/>
    </row>
    <row r="3" spans="2:6" ht="16.5" thickBot="1" x14ac:dyDescent="0.25">
      <c r="B3" s="483" t="s">
        <v>61</v>
      </c>
      <c r="C3" s="484"/>
      <c r="D3" s="484"/>
      <c r="E3" s="95" t="s">
        <v>62</v>
      </c>
      <c r="F3" s="96" t="s">
        <v>63</v>
      </c>
    </row>
    <row r="4" spans="2:6" ht="31.5" x14ac:dyDescent="0.2">
      <c r="B4" s="485" t="s">
        <v>64</v>
      </c>
      <c r="C4" s="487" t="s">
        <v>12</v>
      </c>
      <c r="D4" s="84" t="s">
        <v>13</v>
      </c>
      <c r="E4" s="85" t="s">
        <v>65</v>
      </c>
      <c r="F4" s="86">
        <v>0.25</v>
      </c>
    </row>
    <row r="5" spans="2:6" ht="47.25" x14ac:dyDescent="0.2">
      <c r="B5" s="486"/>
      <c r="C5" s="488"/>
      <c r="D5" s="87" t="s">
        <v>14</v>
      </c>
      <c r="E5" s="88" t="s">
        <v>66</v>
      </c>
      <c r="F5" s="89">
        <v>0.15</v>
      </c>
    </row>
    <row r="6" spans="2:6" ht="47.25" x14ac:dyDescent="0.2">
      <c r="B6" s="486"/>
      <c r="C6" s="488"/>
      <c r="D6" s="87" t="s">
        <v>15</v>
      </c>
      <c r="E6" s="88" t="s">
        <v>67</v>
      </c>
      <c r="F6" s="89">
        <v>0.1</v>
      </c>
    </row>
    <row r="7" spans="2:6" ht="63" x14ac:dyDescent="0.2">
      <c r="B7" s="486"/>
      <c r="C7" s="488" t="s">
        <v>16</v>
      </c>
      <c r="D7" s="87" t="s">
        <v>9</v>
      </c>
      <c r="E7" s="88" t="s">
        <v>68</v>
      </c>
      <c r="F7" s="89">
        <v>0.25</v>
      </c>
    </row>
    <row r="8" spans="2:6" ht="31.5" x14ac:dyDescent="0.2">
      <c r="B8" s="486"/>
      <c r="C8" s="488"/>
      <c r="D8" s="87" t="s">
        <v>8</v>
      </c>
      <c r="E8" s="88" t="s">
        <v>69</v>
      </c>
      <c r="F8" s="89">
        <v>0.15</v>
      </c>
    </row>
    <row r="9" spans="2:6" ht="47.25" x14ac:dyDescent="0.2">
      <c r="B9" s="486" t="s">
        <v>155</v>
      </c>
      <c r="C9" s="488" t="s">
        <v>17</v>
      </c>
      <c r="D9" s="87" t="s">
        <v>18</v>
      </c>
      <c r="E9" s="88" t="s">
        <v>70</v>
      </c>
      <c r="F9" s="90" t="s">
        <v>71</v>
      </c>
    </row>
    <row r="10" spans="2:6" ht="63" x14ac:dyDescent="0.2">
      <c r="B10" s="486"/>
      <c r="C10" s="488"/>
      <c r="D10" s="87" t="s">
        <v>19</v>
      </c>
      <c r="E10" s="88" t="s">
        <v>72</v>
      </c>
      <c r="F10" s="90" t="s">
        <v>71</v>
      </c>
    </row>
    <row r="11" spans="2:6" ht="47.25" x14ac:dyDescent="0.2">
      <c r="B11" s="486"/>
      <c r="C11" s="488" t="s">
        <v>20</v>
      </c>
      <c r="D11" s="87" t="s">
        <v>21</v>
      </c>
      <c r="E11" s="88" t="s">
        <v>73</v>
      </c>
      <c r="F11" s="90" t="s">
        <v>71</v>
      </c>
    </row>
    <row r="12" spans="2:6" ht="47.25" x14ac:dyDescent="0.2">
      <c r="B12" s="486"/>
      <c r="C12" s="488"/>
      <c r="D12" s="87" t="s">
        <v>22</v>
      </c>
      <c r="E12" s="88" t="s">
        <v>74</v>
      </c>
      <c r="F12" s="90" t="s">
        <v>71</v>
      </c>
    </row>
    <row r="13" spans="2:6" ht="31.5" x14ac:dyDescent="0.2">
      <c r="B13" s="486"/>
      <c r="C13" s="488" t="s">
        <v>23</v>
      </c>
      <c r="D13" s="87" t="s">
        <v>116</v>
      </c>
      <c r="E13" s="88" t="s">
        <v>119</v>
      </c>
      <c r="F13" s="90" t="s">
        <v>71</v>
      </c>
    </row>
    <row r="14" spans="2:6" ht="32.25" thickBot="1" x14ac:dyDescent="0.25">
      <c r="B14" s="489"/>
      <c r="C14" s="490"/>
      <c r="D14" s="91" t="s">
        <v>117</v>
      </c>
      <c r="E14" s="92" t="s">
        <v>118</v>
      </c>
      <c r="F14" s="93" t="s">
        <v>71</v>
      </c>
    </row>
    <row r="15" spans="2:6" ht="49.5" customHeight="1" x14ac:dyDescent="0.2">
      <c r="B15" s="482" t="s">
        <v>152</v>
      </c>
      <c r="C15" s="482"/>
      <c r="D15" s="482"/>
      <c r="E15" s="482"/>
      <c r="F15" s="482"/>
    </row>
    <row r="16" spans="2:6" ht="27" customHeight="1" x14ac:dyDescent="0.25">
      <c r="B16" s="94"/>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B4EF1-640B-4126-8785-FFB1A895D3D5}">
  <dimension ref="A1"/>
  <sheetViews>
    <sheetView topLeftCell="A7" workbookViewId="0">
      <selection activeCell="O7" sqref="O7"/>
    </sheetView>
  </sheetViews>
  <sheetFormatPr baseColWidth="10" defaultRowHeight="15"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31CB8-AF1A-4007-976B-6D330BCA3B7E}">
  <dimension ref="B3:AF9"/>
  <sheetViews>
    <sheetView topLeftCell="A7" workbookViewId="0">
      <selection activeCell="A7" sqref="A7"/>
    </sheetView>
  </sheetViews>
  <sheetFormatPr baseColWidth="10" defaultRowHeight="15" x14ac:dyDescent="0.25"/>
  <cols>
    <col min="2" max="2" width="11.7109375" bestFit="1" customWidth="1"/>
    <col min="3" max="3" width="21.28515625" customWidth="1"/>
    <col min="5" max="5" width="24.42578125" customWidth="1"/>
    <col min="6" max="6" width="24.28515625" customWidth="1"/>
    <col min="8" max="8" width="27.28515625" customWidth="1"/>
  </cols>
  <sheetData>
    <row r="3" spans="2:32" x14ac:dyDescent="0.25">
      <c r="B3" s="491" t="s">
        <v>206</v>
      </c>
      <c r="C3" s="494" t="s">
        <v>207</v>
      </c>
      <c r="D3" s="494" t="s">
        <v>208</v>
      </c>
      <c r="E3" s="494" t="s">
        <v>209</v>
      </c>
      <c r="F3" s="497" t="s">
        <v>210</v>
      </c>
      <c r="G3" s="498"/>
      <c r="H3" s="498"/>
      <c r="I3" s="498"/>
      <c r="J3" s="498"/>
      <c r="K3" s="498"/>
      <c r="L3" s="498"/>
      <c r="M3" s="498"/>
      <c r="N3" s="498"/>
      <c r="O3" s="498"/>
      <c r="P3" s="498"/>
      <c r="Q3" s="498"/>
      <c r="R3" s="498"/>
      <c r="S3" s="498"/>
      <c r="T3" s="498"/>
      <c r="U3" s="498"/>
      <c r="V3" s="498"/>
      <c r="W3" s="498"/>
      <c r="X3" s="498"/>
      <c r="Y3" s="498"/>
      <c r="Z3" s="498"/>
      <c r="AA3" s="498"/>
      <c r="AB3" s="498"/>
      <c r="AC3" s="498"/>
      <c r="AD3" s="500" t="s">
        <v>211</v>
      </c>
      <c r="AE3" s="500" t="s">
        <v>212</v>
      </c>
      <c r="AF3" s="500" t="s">
        <v>213</v>
      </c>
    </row>
    <row r="4" spans="2:32" x14ac:dyDescent="0.25">
      <c r="B4" s="492"/>
      <c r="C4" s="495"/>
      <c r="D4" s="495"/>
      <c r="E4" s="495"/>
      <c r="F4" s="503" t="s">
        <v>214</v>
      </c>
      <c r="G4" s="503"/>
      <c r="H4" s="503" t="s">
        <v>215</v>
      </c>
      <c r="I4" s="503"/>
      <c r="J4" s="503" t="s">
        <v>216</v>
      </c>
      <c r="K4" s="503"/>
      <c r="L4" s="503" t="s">
        <v>217</v>
      </c>
      <c r="M4" s="503"/>
      <c r="N4" s="499" t="s">
        <v>218</v>
      </c>
      <c r="O4" s="499"/>
      <c r="P4" s="499" t="s">
        <v>219</v>
      </c>
      <c r="Q4" s="499"/>
      <c r="R4" s="499" t="s">
        <v>220</v>
      </c>
      <c r="S4" s="499"/>
      <c r="T4" s="499" t="s">
        <v>221</v>
      </c>
      <c r="U4" s="499"/>
      <c r="V4" s="499" t="s">
        <v>222</v>
      </c>
      <c r="W4" s="499"/>
      <c r="X4" s="499" t="s">
        <v>223</v>
      </c>
      <c r="Y4" s="499"/>
      <c r="Z4" s="499" t="s">
        <v>224</v>
      </c>
      <c r="AA4" s="499"/>
      <c r="AB4" s="499" t="s">
        <v>225</v>
      </c>
      <c r="AC4" s="499"/>
      <c r="AD4" s="501"/>
      <c r="AE4" s="501"/>
      <c r="AF4" s="501"/>
    </row>
    <row r="5" spans="2:32" ht="24.75" x14ac:dyDescent="0.25">
      <c r="B5" s="493"/>
      <c r="C5" s="496"/>
      <c r="D5" s="496"/>
      <c r="E5" s="496"/>
      <c r="F5" s="117" t="s">
        <v>226</v>
      </c>
      <c r="G5" s="117" t="s">
        <v>27</v>
      </c>
      <c r="H5" s="117" t="s">
        <v>226</v>
      </c>
      <c r="I5" s="117" t="s">
        <v>27</v>
      </c>
      <c r="J5" s="117" t="s">
        <v>226</v>
      </c>
      <c r="K5" s="117" t="s">
        <v>27</v>
      </c>
      <c r="L5" s="117" t="s">
        <v>226</v>
      </c>
      <c r="M5" s="117" t="s">
        <v>27</v>
      </c>
      <c r="N5" s="118" t="s">
        <v>226</v>
      </c>
      <c r="O5" s="119" t="s">
        <v>27</v>
      </c>
      <c r="P5" s="118" t="s">
        <v>226</v>
      </c>
      <c r="Q5" s="119" t="s">
        <v>27</v>
      </c>
      <c r="R5" s="118" t="s">
        <v>226</v>
      </c>
      <c r="S5" s="119" t="s">
        <v>27</v>
      </c>
      <c r="T5" s="118" t="s">
        <v>226</v>
      </c>
      <c r="U5" s="119" t="s">
        <v>27</v>
      </c>
      <c r="V5" s="118" t="s">
        <v>226</v>
      </c>
      <c r="W5" s="119" t="s">
        <v>27</v>
      </c>
      <c r="X5" s="118" t="s">
        <v>226</v>
      </c>
      <c r="Y5" s="119" t="s">
        <v>27</v>
      </c>
      <c r="Z5" s="118" t="s">
        <v>226</v>
      </c>
      <c r="AA5" s="119" t="s">
        <v>27</v>
      </c>
      <c r="AB5" s="118" t="s">
        <v>226</v>
      </c>
      <c r="AC5" s="119" t="s">
        <v>27</v>
      </c>
      <c r="AD5" s="502"/>
      <c r="AE5" s="502"/>
      <c r="AF5" s="502"/>
    </row>
    <row r="6" spans="2:32" ht="54.6" customHeight="1" x14ac:dyDescent="0.25">
      <c r="B6" s="120" t="str">
        <f>Riesgos!H10</f>
        <v>Toma de decisiones basada en información inoportuna y poco confiable.</v>
      </c>
      <c r="C6" s="136">
        <f>Riesgos!P10</f>
        <v>0.8</v>
      </c>
      <c r="D6" s="121">
        <v>1</v>
      </c>
      <c r="E6" s="122"/>
      <c r="F6" s="123" t="s">
        <v>230</v>
      </c>
      <c r="G6" s="124">
        <f>+IF(F6="","",(LOOKUP(F6,CriterioControl,[1]CriteriosControles!$B$2:$B$15)))</f>
        <v>4</v>
      </c>
      <c r="H6" s="123" t="s">
        <v>233</v>
      </c>
      <c r="I6" s="125" t="str">
        <f>+IF(H6="","",(LOOKUP(H6,CriterioControl,[1]CriteriosControles!$B$2:$B$15)))</f>
        <v>N</v>
      </c>
      <c r="J6" s="123" t="s">
        <v>233</v>
      </c>
      <c r="K6" s="125" t="str">
        <f>+IF(J6="","",(LOOKUP(J6,CriterioControl,[1]CriteriosControles!$B$2:$B$15)))</f>
        <v>N</v>
      </c>
      <c r="L6" s="123" t="s">
        <v>233</v>
      </c>
      <c r="M6" s="125" t="str">
        <f>+IF(L6="","",(LOOKUP(L6,CriterioControl,[1]CriteriosControles!$B$2:$B$15)))</f>
        <v>N</v>
      </c>
      <c r="N6" s="126"/>
      <c r="O6" s="125" t="str">
        <f>+IF(N6="","",(LOOKUP(N6,CriterioControl,[1]CriteriosControles!$B$2:$B$15)))</f>
        <v/>
      </c>
      <c r="P6" s="126"/>
      <c r="Q6" s="125" t="str">
        <f>+IF(P6="","",(LOOKUP(P6,CriterioControl,[1]CriteriosControles!$B$2:$B$15)))</f>
        <v/>
      </c>
      <c r="R6" s="127"/>
      <c r="S6" s="125" t="str">
        <f>+IF(R6="","",(LOOKUP(R6,CriterioControl,[1]CriteriosControles!$B$2:$B$15)))</f>
        <v/>
      </c>
      <c r="T6" s="127"/>
      <c r="U6" s="125" t="str">
        <f>+IF(T6="","",(LOOKUP(T6,CriterioControl,[1]CriteriosControles!$B$2:$B$15)))</f>
        <v/>
      </c>
      <c r="V6" s="127"/>
      <c r="W6" s="125" t="str">
        <f>+IF(V6="","",(LOOKUP(V6,CriterioControl,[1]CriteriosControles!$B$2:$B$15)))</f>
        <v/>
      </c>
      <c r="X6" s="127"/>
      <c r="Y6" s="125" t="str">
        <f>+IF(X6="","",(LOOKUP(X6,CriterioControl,[1]CriteriosControles!$B$2:$B$15)))</f>
        <v/>
      </c>
      <c r="Z6" s="127"/>
      <c r="AA6" s="125" t="str">
        <f>+IF(Z6="","",(LOOKUP(Z6,CriterioControl,[1]CriteriosControles!$B$2:$B$15)))</f>
        <v/>
      </c>
      <c r="AB6" s="127"/>
      <c r="AC6" s="125" t="str">
        <f>+IF(AB6="","",(LOOKUP(AB6,CriterioControl,[1]CriteriosControles!$B$2:$B$15)))</f>
        <v/>
      </c>
      <c r="AD6" s="128">
        <f>(SUM(G6:AC6)/(D6*5))</f>
        <v>0.8</v>
      </c>
      <c r="AE6" s="128">
        <f>1-AD6</f>
        <v>0.19999999999999996</v>
      </c>
      <c r="AF6" s="129">
        <f t="shared" ref="AF6:AF9" si="0">C6*AE6</f>
        <v>0.15999999999999998</v>
      </c>
    </row>
    <row r="7" spans="2:32" ht="75" x14ac:dyDescent="0.25">
      <c r="B7" s="130"/>
      <c r="C7" s="127"/>
      <c r="D7" s="125"/>
      <c r="E7" s="122"/>
      <c r="F7" s="123" t="s">
        <v>229</v>
      </c>
      <c r="G7" s="125">
        <f>+IF(F7="","",(LOOKUP(F7,CriterioControl,[1]CriteriosControles!$B$2:$B$15)))</f>
        <v>1</v>
      </c>
      <c r="H7" s="123" t="s">
        <v>228</v>
      </c>
      <c r="I7" s="125">
        <f>+IF(H7="","",(LOOKUP(H7,CriterioControl,[1]CriteriosControles!$B$2:$B$15)))</f>
        <v>3</v>
      </c>
      <c r="J7" s="123" t="s">
        <v>230</v>
      </c>
      <c r="K7" s="125">
        <f>+IF(J7="","",(LOOKUP(J7,CriterioControl,[1]CriteriosControles!$B$2:$B$15)))</f>
        <v>4</v>
      </c>
      <c r="L7" s="126"/>
      <c r="M7" s="125" t="str">
        <f>+IF(L7="","",(LOOKUP(L7,CriterioControl,[1]CriteriosControles!$B$2:$B$15)))</f>
        <v/>
      </c>
      <c r="N7" s="126"/>
      <c r="O7" s="125" t="str">
        <f>+IF(N7="","",(LOOKUP(N7,CriterioControl,[1]CriteriosControles!$B$2:$B$15)))</f>
        <v/>
      </c>
      <c r="P7" s="127"/>
      <c r="Q7" s="125" t="str">
        <f>+IF(P7="","",(LOOKUP(P7,CriterioControl,[1]CriteriosControles!$B$2:$B$15)))</f>
        <v/>
      </c>
      <c r="R7" s="127"/>
      <c r="S7" s="125" t="str">
        <f>+IF(R7="","",(LOOKUP(R7,CriterioControl,[1]CriteriosControles!$B$2:$B$15)))</f>
        <v/>
      </c>
      <c r="T7" s="127"/>
      <c r="U7" s="125" t="str">
        <f>+IF(T7="","",(LOOKUP(T7,CriterioControl,[1]CriteriosControles!$B$2:$B$15)))</f>
        <v/>
      </c>
      <c r="V7" s="127"/>
      <c r="W7" s="125" t="str">
        <f>+IF(V7="","",(LOOKUP(V7,CriterioControl,[1]CriteriosControles!$B$2:$B$15)))</f>
        <v/>
      </c>
      <c r="X7" s="127"/>
      <c r="Y7" s="125" t="str">
        <f>+IF(X7="","",(LOOKUP(X7,CriterioControl,[1]CriteriosControles!$B$2:$B$15)))</f>
        <v/>
      </c>
      <c r="Z7" s="127"/>
      <c r="AA7" s="125" t="str">
        <f>+IF(Z7="","",(LOOKUP(Z7,CriterioControl,[1]CriteriosControles!$B$2:$B$15)))</f>
        <v/>
      </c>
      <c r="AB7" s="127"/>
      <c r="AC7" s="125" t="str">
        <f>+IF(AB7="","",(LOOKUP(AB7,CriterioControl,[1]CriteriosControles!$B$2:$B$15)))</f>
        <v/>
      </c>
      <c r="AD7" s="128" t="e">
        <f>(SUM(G7:AC7)/(D7*5))</f>
        <v>#DIV/0!</v>
      </c>
      <c r="AE7" s="128" t="e">
        <f>1-AD7</f>
        <v>#DIV/0!</v>
      </c>
      <c r="AF7" s="129" t="e">
        <f t="shared" si="0"/>
        <v>#DIV/0!</v>
      </c>
    </row>
    <row r="8" spans="2:32" ht="45" x14ac:dyDescent="0.25">
      <c r="B8" s="131"/>
      <c r="C8" s="127"/>
      <c r="D8" s="125"/>
      <c r="E8" s="122"/>
      <c r="F8" s="126" t="s">
        <v>227</v>
      </c>
      <c r="G8" s="125">
        <f>+IF(F8="","",(LOOKUP(F8,CriterioControl,[1]CriteriosControles!$B$2:$B$15)))</f>
        <v>1</v>
      </c>
      <c r="H8" s="126" t="s">
        <v>232</v>
      </c>
      <c r="I8" s="125">
        <f>+IF(H8="","",(LOOKUP(H8,CriterioControl,[1]CriteriosControles!$B$2:$B$15)))</f>
        <v>1</v>
      </c>
      <c r="J8" s="126"/>
      <c r="K8" s="125" t="str">
        <f>+IF(J8="","",(LOOKUP(J8,CriterioControl,[1]CriteriosControles!$B$2:$B$15)))</f>
        <v/>
      </c>
      <c r="L8" s="126"/>
      <c r="M8" s="125" t="str">
        <f>+IF(L8="","",(LOOKUP(L8,CriterioControl,[1]CriteriosControles!$B$2:$B$15)))</f>
        <v/>
      </c>
      <c r="N8" s="126"/>
      <c r="O8" s="125" t="str">
        <f>+IF(N8="","",(LOOKUP(N8,CriterioControl,[1]CriteriosControles!$B$2:$B$15)))</f>
        <v/>
      </c>
      <c r="P8" s="127"/>
      <c r="Q8" s="125" t="str">
        <f>+IF(P8="","",(LOOKUP(P8,CriterioControl,[1]CriteriosControles!$B$2:$B$15)))</f>
        <v/>
      </c>
      <c r="R8" s="127"/>
      <c r="S8" s="125" t="str">
        <f>+IF(R8="","",(LOOKUP(R8,CriterioControl,[1]CriteriosControles!$B$2:$B$15)))</f>
        <v/>
      </c>
      <c r="T8" s="127"/>
      <c r="U8" s="125" t="str">
        <f>+IF(T8="","",(LOOKUP(T8,CriterioControl,[1]CriteriosControles!$B$2:$B$15)))</f>
        <v/>
      </c>
      <c r="V8" s="127"/>
      <c r="W8" s="125" t="str">
        <f>+IF(V8="","",(LOOKUP(V8,CriterioControl,[1]CriteriosControles!$B$2:$B$15)))</f>
        <v/>
      </c>
      <c r="X8" s="127"/>
      <c r="Y8" s="125" t="str">
        <f>+IF(X8="","",(LOOKUP(X8,CriterioControl,[1]CriteriosControles!$B$2:$B$15)))</f>
        <v/>
      </c>
      <c r="Z8" s="127"/>
      <c r="AA8" s="125" t="str">
        <f>+IF(Z8="","",(LOOKUP(Z8,CriterioControl,[1]CriteriosControles!$B$2:$B$15)))</f>
        <v/>
      </c>
      <c r="AB8" s="127"/>
      <c r="AC8" s="125" t="str">
        <f>+IF(AB8="","",(LOOKUP(AB8,CriterioControl,[1]CriteriosControles!$B$2:$B$15)))</f>
        <v/>
      </c>
      <c r="AD8" s="132" t="e">
        <f>(SUM(G8:AC8)/(D8*5))</f>
        <v>#DIV/0!</v>
      </c>
      <c r="AE8" s="132" t="e">
        <f>1-AD8</f>
        <v>#DIV/0!</v>
      </c>
      <c r="AF8" s="133" t="e">
        <f t="shared" si="0"/>
        <v>#DIV/0!</v>
      </c>
    </row>
    <row r="9" spans="2:32" ht="75" x14ac:dyDescent="0.25">
      <c r="B9" s="134"/>
      <c r="C9" s="127"/>
      <c r="D9" s="125"/>
      <c r="E9" s="135"/>
      <c r="F9" s="123" t="s">
        <v>231</v>
      </c>
      <c r="G9" s="125">
        <f>+IF(F9="","",(LOOKUP(F9,CriterioControl,[1]CriteriosControles!$B$2:$B$15)))</f>
        <v>5</v>
      </c>
      <c r="H9" s="123" t="s">
        <v>228</v>
      </c>
      <c r="I9" s="125">
        <f>+IF(H9="","",(LOOKUP(H9,CriterioControl,[1]CriteriosControles!$B$2:$B$15)))</f>
        <v>3</v>
      </c>
      <c r="J9" s="123" t="s">
        <v>232</v>
      </c>
      <c r="K9" s="125">
        <f>+IF(J9="","",(LOOKUP(J9,CriterioControl,[1]CriteriosControles!$B$2:$B$15)))</f>
        <v>1</v>
      </c>
      <c r="L9" s="126"/>
      <c r="M9" s="125" t="str">
        <f>+IF(L9="","",(LOOKUP(L9,CriterioControl,[1]CriteriosControles!$B$2:$B$15)))</f>
        <v/>
      </c>
      <c r="N9" s="126"/>
      <c r="O9" s="125" t="str">
        <f>+IF(N9="","",(LOOKUP(N9,CriterioControl,[1]CriteriosControles!$B$2:$B$15)))</f>
        <v/>
      </c>
      <c r="P9" s="127"/>
      <c r="Q9" s="125" t="str">
        <f>+IF(P9="","",(LOOKUP(P9,CriterioControl,[1]CriteriosControles!$B$2:$B$15)))</f>
        <v/>
      </c>
      <c r="R9" s="127"/>
      <c r="S9" s="125" t="str">
        <f>+IF(R9="","",(LOOKUP(R9,CriterioControl,[1]CriteriosControles!$B$2:$B$15)))</f>
        <v/>
      </c>
      <c r="T9" s="127"/>
      <c r="U9" s="125" t="str">
        <f>+IF(T9="","",(LOOKUP(T9,CriterioControl,[1]CriteriosControles!$B$2:$B$15)))</f>
        <v/>
      </c>
      <c r="V9" s="127"/>
      <c r="W9" s="125" t="str">
        <f>+IF(V9="","",(LOOKUP(V9,CriterioControl,[1]CriteriosControles!$B$2:$B$15)))</f>
        <v/>
      </c>
      <c r="X9" s="127"/>
      <c r="Y9" s="125" t="str">
        <f>+IF(X9="","",(LOOKUP(X9,CriterioControl,[1]CriteriosControles!$B$2:$B$15)))</f>
        <v/>
      </c>
      <c r="Z9" s="127"/>
      <c r="AA9" s="125" t="str">
        <f>+IF(Z9="","",(LOOKUP(Z9,CriterioControl,[1]CriteriosControles!$B$2:$B$15)))</f>
        <v/>
      </c>
      <c r="AB9" s="127"/>
      <c r="AC9" s="125" t="str">
        <f>+IF(AB9="","",(LOOKUP(AB9,CriterioControl,[1]CriteriosControles!$B$2:$B$15)))</f>
        <v/>
      </c>
      <c r="AD9" s="128" t="e">
        <f>(SUM(G9:AC9)/(D9*5))</f>
        <v>#DIV/0!</v>
      </c>
      <c r="AE9" s="128" t="e">
        <f>1-AD9</f>
        <v>#DIV/0!</v>
      </c>
      <c r="AF9" s="129" t="e">
        <f t="shared" si="0"/>
        <v>#DIV/0!</v>
      </c>
    </row>
  </sheetData>
  <mergeCells count="20">
    <mergeCell ref="AE3:AE5"/>
    <mergeCell ref="AF3:AF5"/>
    <mergeCell ref="F4:G4"/>
    <mergeCell ref="H4:I4"/>
    <mergeCell ref="J4:K4"/>
    <mergeCell ref="L4:M4"/>
    <mergeCell ref="N4:O4"/>
    <mergeCell ref="P4:Q4"/>
    <mergeCell ref="R4:S4"/>
    <mergeCell ref="T4:U4"/>
    <mergeCell ref="AD3:AD5"/>
    <mergeCell ref="B3:B5"/>
    <mergeCell ref="C3:C5"/>
    <mergeCell ref="D3:D5"/>
    <mergeCell ref="E3:E5"/>
    <mergeCell ref="F3:AC3"/>
    <mergeCell ref="V4:W4"/>
    <mergeCell ref="X4:Y4"/>
    <mergeCell ref="Z4:AA4"/>
    <mergeCell ref="AB4:AC4"/>
  </mergeCells>
  <conditionalFormatting sqref="F3">
    <cfRule type="cellIs" dxfId="2" priority="5" operator="notEqual">
      <formula>""</formula>
    </cfRule>
  </conditionalFormatting>
  <conditionalFormatting sqref="G6:G9">
    <cfRule type="cellIs" dxfId="1" priority="1" operator="notEqual">
      <formula>""</formula>
    </cfRule>
  </conditionalFormatting>
  <conditionalFormatting sqref="I6:I9 K6:K9 M6:M9 O6:O9 Q6:Q9 S6:S9 U6:U9 W6:W9 Y6:Y9 AA6:AA9 AC6:AC9">
    <cfRule type="cellIs" dxfId="0" priority="2" operator="notEqual">
      <formula>""</formula>
    </cfRule>
  </conditionalFormatting>
  <dataValidations count="1">
    <dataValidation type="list" allowBlank="1" showInputMessage="1" showErrorMessage="1" sqref="AB6:AB9 H6:H9 J6:J9 L6:L9 N6:N9 P6:P9 R6:R9 T6:T9 V6:V9 X6:X9 Z6:Z9 F6:F9" xr:uid="{8D49236D-3D7E-4B7B-B2ED-46651829A359}">
      <formula1>CriterioControl</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Intructivo</vt:lpstr>
      <vt:lpstr>Riesgos</vt:lpstr>
      <vt:lpstr>Matriz Calor Inherente</vt:lpstr>
      <vt:lpstr>Matriz Calor Residual</vt:lpstr>
      <vt:lpstr>Tabla probabilidad</vt:lpstr>
      <vt:lpstr>Tabla Impacto</vt:lpstr>
      <vt:lpstr>Tabla Valoración controles</vt:lpstr>
      <vt:lpstr>Tipologia</vt:lpstr>
      <vt:lpstr>Hoja3</vt:lpstr>
      <vt:lpstr>DATOS</vt:lpstr>
      <vt:lpstr>Hoja4</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Licencia Office 365 BAQSIS001978</cp:lastModifiedBy>
  <cp:lastPrinted>2024-10-24T16:09:25Z</cp:lastPrinted>
  <dcterms:created xsi:type="dcterms:W3CDTF">2020-03-24T23:12:47Z</dcterms:created>
  <dcterms:modified xsi:type="dcterms:W3CDTF">2025-02-10T19:56:58Z</dcterms:modified>
</cp:coreProperties>
</file>